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1"/>
  </bookViews>
  <sheets>
    <sheet name="COTAÇÕES DE MERCADO" sheetId="1" r:id="rId1"/>
    <sheet name="memória base 0619" sheetId="2" r:id="rId2"/>
    <sheet name="PLANILHA TOTAL" sheetId="3" r:id="rId3"/>
    <sheet name="Cronograma " sheetId="4" r:id="rId4"/>
  </sheets>
  <externalReferences>
    <externalReference r:id="rId7"/>
    <externalReference r:id="rId8"/>
    <externalReference r:id="rId9"/>
  </externalReferences>
  <definedNames>
    <definedName name="__shared_1_0_0">#REF!*#REF!</definedName>
    <definedName name="__shared_1_1_0">#REF!*#REF!</definedName>
    <definedName name="__shared_1_2_0">#REF!*#REF!</definedName>
    <definedName name="__shared_1_3_0">#REF!*#REF!</definedName>
    <definedName name="__shared_1_3_1">#REF!*#REF!</definedName>
    <definedName name="__shared_1_4_0">#REF!*#REF!</definedName>
    <definedName name="__shared_1_5_0">#REF!*#REF!</definedName>
    <definedName name="__shared_2_0_0">#REF!*#REF!</definedName>
    <definedName name="__shared_3_0_0">SUM(#REF!)</definedName>
    <definedName name="EXTRACT" localSheetId="3">'Cronograma '!#REF!</definedName>
    <definedName name="_xlnm.Print_Area" localSheetId="0">'COTAÇÕES DE MERCADO'!$A$1:$G$15</definedName>
    <definedName name="_xlnm.Print_Area" localSheetId="3">'Cronograma '!$A$1:$O$28</definedName>
    <definedName name="_xlnm.Print_Area" localSheetId="1">'memória base 0619'!$A$1:$G$710</definedName>
    <definedName name="_xlnm.Print_Area" localSheetId="2">'PLANILHA TOTAL'!$A$1:$I$112</definedName>
    <definedName name="BDI" localSheetId="0">#REF!</definedName>
    <definedName name="BDI" localSheetId="3">#REF!</definedName>
    <definedName name="BDI">#REF!</definedName>
    <definedName name="CRITERIA" localSheetId="3">'Cronograma '!#REF!</definedName>
    <definedName name="cronog">#REF!</definedName>
    <definedName name="MEM_A">#REF!</definedName>
    <definedName name="MEN_B">#REF!</definedName>
    <definedName name="OnerADO">#REF!</definedName>
    <definedName name="ORÇ_A">#REF!</definedName>
    <definedName name="ORÇ_B">#REF!</definedName>
    <definedName name="ORÇ_D">#REF!</definedName>
    <definedName name="orcb">#REF!</definedName>
    <definedName name="_xlnm.Print_Titles" localSheetId="0">'COTAÇÕES DE MERCADO'!$1:$2</definedName>
    <definedName name="_xlnm.Print_Titles" localSheetId="3">'Cronograma '!$10:$12</definedName>
    <definedName name="_xlnm.Print_Titles" localSheetId="1">'memória base 0619'!$10:$11</definedName>
    <definedName name="_xlnm.Print_Titles" localSheetId="2">'PLANILHA TOTAL'!$1:$11</definedName>
  </definedNames>
  <calcPr fullCalcOnLoad="1"/>
</workbook>
</file>

<file path=xl/sharedStrings.xml><?xml version="1.0" encoding="utf-8"?>
<sst xmlns="http://schemas.openxmlformats.org/spreadsheetml/2006/main" count="2587" uniqueCount="979">
  <si>
    <t>M2</t>
  </si>
  <si>
    <t>So000088316</t>
  </si>
  <si>
    <t>SERVENTE COM ENCARGOS COMPLEMENTARES</t>
  </si>
  <si>
    <t>H</t>
  </si>
  <si>
    <t>CHI</t>
  </si>
  <si>
    <t>CHP</t>
  </si>
  <si>
    <t>TOTAL</t>
  </si>
  <si>
    <t>01999</t>
  </si>
  <si>
    <t>MAO-DE-OBRA DE SERVENTE DA CONSTRUCAO CIVIL, INCLUSIVE ENCARGOS SOCIAIS</t>
  </si>
  <si>
    <t>UN</t>
  </si>
  <si>
    <t>M</t>
  </si>
  <si>
    <t>M3</t>
  </si>
  <si>
    <t>CARPINTEIRO DE FORMAS COM ENCARGOS COMPLEMENTARES</t>
  </si>
  <si>
    <t>00368</t>
  </si>
  <si>
    <t>PINUS, EM PECAS DE 7,50X7,50CM (3"X3")</t>
  </si>
  <si>
    <t>00453</t>
  </si>
  <si>
    <t>PREGO COM OU SEM CABECA, EM CAIXAS DE 50KG, OU QUANTIDADES EQUIVALENTES, N§12X12A 18X30</t>
  </si>
  <si>
    <t>KG</t>
  </si>
  <si>
    <t>01983</t>
  </si>
  <si>
    <t>MAO-DE-OBRA DE ELETRICISTA DE CONSTRUCAOCIVIL, INCLUSIVE ENCARGOS SOCIAIS</t>
  </si>
  <si>
    <t>02.015.0001-0</t>
  </si>
  <si>
    <t>EXECUÇÃO DE PÁTIO/ESTACIONAMENTO EM PISO INTERTRAVADO, COM BLOCO RETANGULAR COR NATURAL DE 20 X 10 CM, ESPESSURA 8 CM. AF_12/2015</t>
  </si>
  <si>
    <t>So00370</t>
  </si>
  <si>
    <t>AREIA MEDIA - POSTO JAZIDA/FORNECEDOR (RETIRADO NA JAZIDA, SEM TRANSPORTE)</t>
  </si>
  <si>
    <t>So000091277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</si>
  <si>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</si>
  <si>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</si>
  <si>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</si>
  <si>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Serviço :  Infra Estrutura Basica do Complexo Esportivo</t>
  </si>
  <si>
    <t>Local: Terreno do Leão do Sul, Colonia Santo Antonio, Barra Mansa</t>
  </si>
  <si>
    <t>ORÇAMENTO: Engº Alfredo Antonio N M Cunha</t>
  </si>
  <si>
    <t>ITEM</t>
  </si>
  <si>
    <t>CODIGO EMOP/ SINAPI</t>
  </si>
  <si>
    <t>DISCRIMINAÇÃO</t>
  </si>
  <si>
    <t>QUANT.</t>
  </si>
  <si>
    <t>PREÇOS (R$)</t>
  </si>
  <si>
    <t>UNIT</t>
  </si>
  <si>
    <t>1.0</t>
  </si>
  <si>
    <t>SERVIÇOS PRELIMINARES</t>
  </si>
  <si>
    <t>1.1</t>
  </si>
  <si>
    <t>Placa de identificacao de obra publica,inclusive pintura e suportes de madeira.fornecimento e colocacao</t>
  </si>
  <si>
    <t>x</t>
  </si>
  <si>
    <t>1.2</t>
  </si>
  <si>
    <t>1.3</t>
  </si>
  <si>
    <t>COMPACTACAO MECANICA, SEM CONTROLE DO GC (C/COMPACTADOR PLACA 400 KG)</t>
  </si>
  <si>
    <t>m²</t>
  </si>
  <si>
    <t>1.4</t>
  </si>
  <si>
    <t>Barracao de obra,com paredes e piso de tabuas de madeira de 3¦,cobertura de telhas de fibrocimento de 6mm,e instalacoes, exclusive pintura,sendo reaproveitado 2 vezes.</t>
  </si>
  <si>
    <t>1.5</t>
  </si>
  <si>
    <t>Instalacao e ligacao provisoria para abastecimento de agua e esgotamento sanitario em canteiro de obras,inclusive escava cao,exclusive reposicao da pavimentacao do logradouro publico</t>
  </si>
  <si>
    <t>1.6</t>
  </si>
  <si>
    <t>1.7</t>
  </si>
  <si>
    <t>DEMOLIÇÃO DE ALVENARIA DE BLOCO FURADO, DE FORMA MANUAL, SEM REAPROVEITAMENTO. AF_12/2017 (PORTÓES DE ACESSO)</t>
  </si>
  <si>
    <t>PEDREIRO COM ENCARGOS COMPLEMENTARES</t>
  </si>
  <si>
    <t>TOTAL 1.0=</t>
  </si>
  <si>
    <t>2.0</t>
  </si>
  <si>
    <t>PISOS E PAVIMENTOS</t>
  </si>
  <si>
    <t>2.1</t>
  </si>
  <si>
    <t>CAMADA DE BLOQUEIO(COLCHAO)DE PEDRISCO,ESPALHADO E COMPRIMIDO MECANICAMENTE,MEDIDA APOS COMPACTACAO</t>
  </si>
  <si>
    <t>m³</t>
  </si>
  <si>
    <t>2.2</t>
  </si>
  <si>
    <t>SI000092398</t>
  </si>
  <si>
    <t>2.3</t>
  </si>
  <si>
    <t>CORDOES DE CONCRETO SIMPLES,COM SECAO DE 10X25CM,MOLDADOS NO LOCAL,INCLUSIVE ESCAVACAO E REATERRO</t>
  </si>
  <si>
    <t>X</t>
  </si>
  <si>
    <t>TOTAL 2.0=</t>
  </si>
  <si>
    <t>3.0</t>
  </si>
  <si>
    <t>ENTORNO,PARQUES E JARDINS</t>
  </si>
  <si>
    <t>3.1</t>
  </si>
  <si>
    <t>3.2</t>
  </si>
  <si>
    <t>PORTAO DE CHAPA DE FERRO GALVANIZADO,COM ESPESSURA DE 0,5MM,COM ALTURA ENTRE 2M E 3M E AREA TOTAL DE 6M2 A 9M2,EXCLUSIVE FECHADURA.FORNECIMENTO E COLOCACAO</t>
  </si>
  <si>
    <t>3.3</t>
  </si>
  <si>
    <t>SI74084/001</t>
  </si>
  <si>
    <t>PORTA CADEADO ZINCADO OXIDADO PRETO COM CADEADO DE ACO INOX, LARGURA DE *50* MM</t>
  </si>
  <si>
    <t>CARPINTEIRO DE ESQUADRIA COM ENCARGOS COMPLEMENTARES</t>
  </si>
  <si>
    <t>AJUDANTE DE CARPINTEIRO COM ENCARGOS COMPLEMENTARES</t>
  </si>
  <si>
    <t>SI000092212</t>
  </si>
  <si>
    <t>TUBO DE CONCRETO PARA REDES COLETORAS DE ÁGUAS PLUVIAIS, DIÂMETRO DE 600 MM, JUNTA RÍGIDA, INSTALADO EM LOCAL COM BAIXO NÍVEL DE INTERFERÊNCIAS - FORNECIMENTO E ASSENTAMENTO. AF_12/2015</t>
  </si>
  <si>
    <t>ASSENTADOR DE TUBOS COM ENCARGOS COMPLEMENTARES</t>
  </si>
  <si>
    <t>APLICAÇÃO MANUAL DE PINTURA COM TINTA LÁTEX ACRÍLICA EM PAREDES, DUAS DEMÃOS. AF_06/2014</t>
  </si>
  <si>
    <t>TINTA ACRILICA PREMIUM, COR BRANCO FOSCO</t>
  </si>
  <si>
    <t>L</t>
  </si>
  <si>
    <t>PINTOR COM ENCARGOS COMPLEMENTARES</t>
  </si>
  <si>
    <t>TOTAL 3.0=</t>
  </si>
  <si>
    <t>4.0</t>
  </si>
  <si>
    <t>INSTALAÇÕES ELÉTRICAS</t>
  </si>
  <si>
    <t>02341</t>
  </si>
  <si>
    <t>ELETRODUTO DE PVC PRETO, RIGIDO ROSQUEAVEL, COM ROSCA EM AMBAS EXTREMIDADES, EMBARRAS DE 3 METROS, DE 3/4"</t>
  </si>
  <si>
    <t>00115</t>
  </si>
  <si>
    <t>BUCHA E ARRUELA DE ALUMINIO PARA ELETRODUTO, DE 3/4"</t>
  </si>
  <si>
    <t>ELETRODUTO DE PVC RIGIDO ROSQUEAVEL DE 3/4",INCLUSIVE CONEXOES E EMENDAS,EXCLUSIVE ABERTURA E FECHAMENTO DE RASGO.FORNEC IMENTO E ASSENTAMENTO (OBS.:3%-DESGASTE DE FERRAMENTAS E EPI 10%-CONEXOES E EMENDAS).</t>
  </si>
  <si>
    <t>SI000083399</t>
  </si>
  <si>
    <t>RELE FOTOELETRICO P/ COMANDO DE ILUMINACAO EXTERNA 220V/1000W - FORNECIMENTO E INSTALACAO</t>
  </si>
  <si>
    <t>ELETRICISTA COM ENCARGOS COMPLEMENTARES</t>
  </si>
  <si>
    <t>POSTE DE ACO,RETO,CONICO CONTINUO,ALTURA DE 4,50M,COM SAPATA ESPECIFICACAO EM-CME-04 DA RIOLUZ.FORNECIMENTO</t>
  </si>
  <si>
    <t>Fornecimento e instalação de luminária externa  de led 100w para encaixe nos postes de 4,50m.</t>
  </si>
  <si>
    <t>POSTE DE ACO,RETO,CONICO CONTINUO,ALTURA DE 9,00M,COM SAPATA.FORNECIMENTO</t>
  </si>
  <si>
    <t>Fornecimento e instalação de luminária externa  de led 150w para encaixe nos postes de 9,00m.</t>
  </si>
  <si>
    <t>SI000083446</t>
  </si>
  <si>
    <t>PEDRA BRITADA N. 1 (9,5 a 19 MM) POSTO PEDREIRA/FORNECEDOR, SEM FRETE</t>
  </si>
  <si>
    <t>CIMENTO PORTLAND COMPOSTO CP II-32</t>
  </si>
  <si>
    <t>ACO CA-60, 5,0 MM, VERGALHAO</t>
  </si>
  <si>
    <t>Fornecimento e colocação de base simples, para topo de poste, em aço galvanizado, para fixação de 1 luminária.</t>
  </si>
  <si>
    <t>un</t>
  </si>
  <si>
    <t>5.0</t>
  </si>
  <si>
    <t>Transporte e bota-fora</t>
  </si>
  <si>
    <t>5.1</t>
  </si>
  <si>
    <t>5.2</t>
  </si>
  <si>
    <t>5.3</t>
  </si>
  <si>
    <t>Descarga de materiais e residuos originarios da construcao civil(rcc),classe c (nao reutilizaveis),em locais de disposicão ao final autorizados e/ou licenciados a operar pelos orgaosde controle ambiental</t>
  </si>
  <si>
    <t>TOTAL 5.0=</t>
  </si>
  <si>
    <t>6.0</t>
  </si>
  <si>
    <t>6.1</t>
  </si>
  <si>
    <t>6.2</t>
  </si>
  <si>
    <t>ENCANADOR OU BOMBEIRO HIDRÁULICO COM ENCARGOS COMPLEMENTARES</t>
  </si>
  <si>
    <t>AUXILIAR DE ENCANADOR OU BOMBEIRO HIDRÁULICO COM ENCARGOS COMPLEMENTARES</t>
  </si>
  <si>
    <t>TOTAL 6.0=</t>
  </si>
  <si>
    <t>7.0</t>
  </si>
  <si>
    <t>TOTAL GERAL=</t>
  </si>
  <si>
    <t>APROVAÇÃO: Engº Eros dos Santos</t>
  </si>
  <si>
    <t>09.010.0001-0</t>
  </si>
  <si>
    <t>01635</t>
  </si>
  <si>
    <t>11.001.0005-1 CONCRETO FCK 15MPA</t>
  </si>
  <si>
    <t>14.002.0071-0</t>
  </si>
  <si>
    <t>06913</t>
  </si>
  <si>
    <t>MAO-DE-OBRA DE SERRALHEIRO DA CONSTRUCAOCIVIL, INCLUSIVE ENCARGOS SOCIAIS</t>
  </si>
  <si>
    <t>ok</t>
  </si>
  <si>
    <t>PREGO DE ACO POLIDO COM CABECA 18 X 30 (2 3/4 X 10)</t>
  </si>
  <si>
    <t>So73859/001</t>
  </si>
  <si>
    <t>DESMATAMENTO E LIMPEZA MECANIZADA DE TERRENO COM REMOCAO DE CAMADA VEGETAL, UTILIZANDO TRATOR DE ESTEIRAS</t>
  </si>
  <si>
    <t>So000041598</t>
  </si>
  <si>
    <t>ENTRADA PROVISORIA DE ENERGIA ELETRICA AEREA TRIFASICA 40A EM POSTE MADEIRA</t>
  </si>
  <si>
    <t>So03379</t>
  </si>
  <si>
    <t>!EM PROCESSO DE DESATIVACAO! HASTE DE ATERRAMENTO EM ACO COM 3,00 M DE COMPRIMENTO E DN = 5/8", REVESTIDA COM BAIXA CAMADA DE COBRE, SEM CONECTOR</t>
  </si>
  <si>
    <t>So000088264</t>
  </si>
  <si>
    <t>01968</t>
  </si>
  <si>
    <t>MAO-DE-OBRA DE PEDREIRO, INCLUSIVE ENCARGOS SOCIAIS</t>
  </si>
  <si>
    <t>01993</t>
  </si>
  <si>
    <t>MAO-DE-OBRA DE BOMBEIRO HIDRAULICO DA CONSTRUCAO CIVIL, INCLUSIVE ENCARGOS SOCIAIS</t>
  </si>
  <si>
    <t>01605</t>
  </si>
  <si>
    <t>07.002.0025-1 ARGAMASSA CIM.,AREIA TRACO 1:3,PREPAROMECANICO</t>
  </si>
  <si>
    <t>So000088261</t>
  </si>
  <si>
    <t>So000088239</t>
  </si>
  <si>
    <t>So000088267</t>
  </si>
  <si>
    <t>So000088248</t>
  </si>
  <si>
    <t>So000088246</t>
  </si>
  <si>
    <t>DRENAGEM</t>
  </si>
  <si>
    <t>So000090695</t>
  </si>
  <si>
    <t>TUBO DE PVC PARA REDE COLETORA DE ESGOTO DE PAREDE MACIÇA, DN 150 MM, JUNTA ELÁSTICA, INSTALADO EM LOCAL COM NÍVEL BAIXO DE INTERFERÊNCIAS - FORNECIMENTO E ASSENTAMENTO. AF_06/2015</t>
  </si>
  <si>
    <t>So41936</t>
  </si>
  <si>
    <t>TUBO COLETOR DE ESGOTO, PVC, JEI, DN 150 MM  (NBR 7362)</t>
  </si>
  <si>
    <t>So20078</t>
  </si>
  <si>
    <t>PASTA LUBRIFICANTE PARA TUBOS E CONEXOES COM JUNTA ELASTICA (USO EM PVC, ACO, POLIETILENO E OUTROS) ( DE *400* G)</t>
  </si>
  <si>
    <t>So000090696</t>
  </si>
  <si>
    <t>TUBO DE PVC PARA REDE COLETORA DE ESGOTO DE PAREDE MACIÇA, DN 200 MM, JUNTA ELÁSTICA, INSTALADO EM LOCAL COM NÍVEL BAIXO DE INTERFERÊNCIAS - FORNECIMENTO E ASSENTAMENTO. AF_06/2015</t>
  </si>
  <si>
    <t>So000090697</t>
  </si>
  <si>
    <t>TUBO DE PVC PARA REDE COLETORA DE ESGOTO DE PAREDE MACIÇA, DN 250 MM, JUNTA ELÁSTICA, INSTALADO EM LOCAL COM NÍVEL BAIXO DE INTERFERÊNCIAS - FORNECIMENTO E ASSENTAMENTO. AF_06/2015</t>
  </si>
  <si>
    <t>SI000092210</t>
  </si>
  <si>
    <t>TUBO DE CONCRETO PARA REDES COLETORAS DE ÁGUAS PLUVIAIS, DIÂMETRO DE 400 MM, JUNTA RÍGIDA, INSTALADO EM LOCAL COM BAIXO NÍVEL DE INTERFERÊNCIAS - FORNECIMENTO E ASSENTAMENTO. AF_12/2015</t>
  </si>
  <si>
    <t>So000092211</t>
  </si>
  <si>
    <t>TUBO DE CONCRETO PARA REDES COLETORAS DE ÁGUAS PLUVIAIS, DIÂMETRO DE 500 MM, JUNTA RÍGIDA, INSTALADO EM LOCAL COM BAIXO NÍVEL DE INTERFERÊNCIAS - FORNECIMENTO E ASSENTAMENTO. AF_12/2015</t>
  </si>
  <si>
    <t>TOTAL 7.0=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</si>
  <si>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LOCAISCOM BAIXO NÍVEL DE INTERFERÊNCIA. AF_01/2015</t>
  </si>
  <si>
    <t>So000090106</t>
  </si>
  <si>
    <t>So000005679</t>
  </si>
  <si>
    <t>So000005678</t>
  </si>
  <si>
    <t>So000088309</t>
  </si>
  <si>
    <t>06.015.0030-0</t>
  </si>
  <si>
    <t>CAIXA DE RALO EM ALVENARIA DE BLOCOS DE CONCRETO(20X20X40CM),EM PAREDES DE 0,20M DE ESPESSURA,DE 0,30X0,90X0,90M,PARA AG UAS PLUVIAIS,SENDO AS PAREDES CHAPISCADAS E REVESTIDAS INTERNAMENTE COM ARGAMASSA,ENCHIMENTO DOS BLOCOS E BASE EM CONCRE TO SIMPLES FCK=10MPA E GRELHA DE FERRO FUNDIDO DE 135KG,INCLUSIVE FORNECIMENTO DE TODOS OS MATERIAIS</t>
  </si>
  <si>
    <t>5.4</t>
  </si>
  <si>
    <t>5.5</t>
  </si>
  <si>
    <t>5.6</t>
  </si>
  <si>
    <t>5.7</t>
  </si>
  <si>
    <t>5.8</t>
  </si>
  <si>
    <t>5.9</t>
  </si>
  <si>
    <t>So01379</t>
  </si>
  <si>
    <t>So000096985</t>
  </si>
  <si>
    <t>HASTE DE ATERRAMENTO 5/8  PARA SPDA - FORNECIMENTO E INSTALAÇÃO. AF_12/2017</t>
  </si>
  <si>
    <t>So000088247</t>
  </si>
  <si>
    <t>AUXILIAR DE ELETRICISTA COM ENCARGOS COMPLEMENTARES</t>
  </si>
  <si>
    <t>So000093358</t>
  </si>
  <si>
    <t>LANCAMENTO/APLICACAO MANUAL DE CONCRETO EM FUNDACOES</t>
  </si>
  <si>
    <t>So04721</t>
  </si>
  <si>
    <t>So000088377</t>
  </si>
  <si>
    <t>OPERADOR DE BETONEIRA ESTACIONÁRIA/MISTURADOR COM ENCARGOS COMPLEMENTARES</t>
  </si>
  <si>
    <t>So000088831</t>
  </si>
  <si>
    <t>So000088830</t>
  </si>
  <si>
    <t>21.023.0030-0</t>
  </si>
  <si>
    <t>So000083463</t>
  </si>
  <si>
    <t>QUADRO DE DISTRIBUICAO DE ENERGIA EM CHAPA DE ACO GALVANIZADO, PARA 12 DISJUNTORES TERMOMAGNETICOS MONOPOLARES, COM BARRAMENTO TRIFASICO E NEUTRO - FORNECIMENTO E INSTALACAO</t>
  </si>
  <si>
    <t>So13393</t>
  </si>
  <si>
    <t>QUADRO DE DISTRIBUICAO COM BARRAMENTO TRIFASICO, DE EMBUTIR, EM CHAPA DE ACO GALVANIZADO, PARA 12 DISJUNTORES DIN, 100 A</t>
  </si>
  <si>
    <t>So34653</t>
  </si>
  <si>
    <t>DISJUNTOR TIPO DIN/IEC, MONOPOLAR DE 6  ATE  32A</t>
  </si>
  <si>
    <t>So000093661</t>
  </si>
  <si>
    <t>DISJUNTOR BIPOLAR TIPO DIN, CORRENTE NOMINAL DE 16A - FORNECIMENTO E INSTALAÇÃO. AF_04/2016</t>
  </si>
  <si>
    <t>So000093672</t>
  </si>
  <si>
    <t>DISJUNTOR TRIPOLAR TIPO DIN, CORRENTE NOMINAL DE 40A - FORNECIMENTO E INSTALAÇÃO. AF_04/2016</t>
  </si>
  <si>
    <t>So34709</t>
  </si>
  <si>
    <t>DISJUNTOR TIPO DIN/IEC, TRIPOLAR DE 10 ATE 50A</t>
  </si>
  <si>
    <t>So01574</t>
  </si>
  <si>
    <t>TERMINAL A COMPRESSAO EM COBRE ESTANHADO PARA CABO 10 MM2, 1 FURO E 1 COMPRESSAO, PARA PARAFUSO DE FIXACAO M6</t>
  </si>
  <si>
    <t>15.011.0093-0</t>
  </si>
  <si>
    <t>ENTRADA DE ENERGIA INDIVIDUAL PADRAO LIGHT,MEDICAO DIRETA,REDE SUBTERRANEA,DEMANDA ENTRE 33,1 E 66,3KVA,INCLUSIVE CAIXA SECCIONADORA(CSM200)E CAIXA DE PROTECAO(CPG225)INTERNA,E DEMAIS MATERIAIS NECESSARIOS,EXCLUSIVE DISJUNTOR E FIOS DE ENTR ADA E SAIDA (OBS.:3%-DESGASTE DE FERRAMENTAS E EPI).</t>
  </si>
  <si>
    <t>01648</t>
  </si>
  <si>
    <t>12.003.0075-1 ALVENARIA TIJ. FURADO 10X20X20CM</t>
  </si>
  <si>
    <t>15.036.0070-0</t>
  </si>
  <si>
    <t>15.036.0071-0</t>
  </si>
  <si>
    <t>ELETRODUTO DE PVC RIGIDO ROSQUEAVEL DE 1",INCLUSIVE CONEXOES E EMENDAS,EXCLUSIVE ABERTURA E FECHAMENTO DE RASGO.FORNECIM ENTO E ASSENTAMENTO (OBS.:3%-DESGASTE DE FERRAMENTAS E EPI 10%-CONEXOES E EMENDAS).</t>
  </si>
  <si>
    <t>02343</t>
  </si>
  <si>
    <t>ELETRODUTO DE PVC PRETO,RIGIDO ROSQUEAVEL,COM ROSCA EM AMBAS EXTREMIDADES,EM BARRAS DE 3 METROS,DE 1"</t>
  </si>
  <si>
    <t>15.036.0073-0</t>
  </si>
  <si>
    <t>ELETRODUTO DE PVC RIGIDO ROSQUEAVEL DE 1.1/2",INCLUSIVE CONEXOES E EMENDAS,EXCLUSIVE ABERTURA E FECHAMENTO DE RASGO.FORN ECIMENTO E ASSENTAMENTO (OBS.:3%-DESGASTE DE FERRAMENTAS E EPI 10%-CONEXOES E EMENDAS).</t>
  </si>
  <si>
    <t>15.036.0075-0</t>
  </si>
  <si>
    <t>ELETRODUTO DE PVC RIGIDO ROSQUEAVEL DE 2.1/2",INCLUSIVE CONEXOES E EMENDAS,EXCLUSIVE ABERTURA E FECHAMENTO DE RASGO.FORN ECIMENTO E ASSENTAMENTO (OBS.:3%-DESGASTE DE FERRAMENTAS E EPI 10%-CONEXOES E EMENDAS).</t>
  </si>
  <si>
    <t>So000091928</t>
  </si>
  <si>
    <t>CABO DE COBRE FLEXÍVEL ISOLADO, 4 MM², ANTI-CHAMA 450/750 V, PARA CIRCUITOS TERMINAIS - FORNECIMENTO E INSTALAÇÃO. AF_12/2015</t>
  </si>
  <si>
    <t>So21127</t>
  </si>
  <si>
    <t>FITA ISOLANTE ADESIVA ANTICHAMA, USO ATE 750 V, EM ROLO DE 19 MM X 5 M</t>
  </si>
  <si>
    <t>So00981</t>
  </si>
  <si>
    <t>CABO DE COBRE, FLEXIVEL, CLASSE 4 OU 5, ISOLACAO EM PVC/A, ANTICHAMA BWF-B, 1 CONDUTOR, 450/750 V, SECAO NOMINAL 4 MM2</t>
  </si>
  <si>
    <t>So000091930</t>
  </si>
  <si>
    <t>CABO DE COBRE FLEXÍVEL ISOLADO, 6 MM², ANTI-CHAMA 450/750 V, PARA CIRCUITOS TERMINAIS - FORNECIMENTO E INSTALAÇÃO. AF_12/2015</t>
  </si>
  <si>
    <t>So00982</t>
  </si>
  <si>
    <t>CABO DE COBRE, FLEXIVEL, CLASSE 4 OU 5, ISOLACAO EM PVC/A, ANTICHAMA BWF-B, 1 CONDUTOR, 450/750 V, SECAO NOMINAL 6 MM2</t>
  </si>
  <si>
    <t>So000091932</t>
  </si>
  <si>
    <t>CABO DE COBRE FLEXÍVEL ISOLADO, 10 MM², ANTI-CHAMA 450/750 V, PARA CIRCUITOS TERMINAIS - FORNECIMENTO E INSTALAÇÃO. AF_12/2015</t>
  </si>
  <si>
    <t>So000092985</t>
  </si>
  <si>
    <t>CABO DE COBRE FLEXÍVEL ISOLADO, 35 MM², ANTI-CHAMA 450/750 V, PARA DISTRIBUIÇÃO - FORNECIMENTO E INSTALAÇÃO. AF_12/2015</t>
  </si>
  <si>
    <t>So000092992</t>
  </si>
  <si>
    <t>CABO DE COBRE FLEXÍVEL ISOLADO, 95 MM², ANTI-CHAMA 0,6/1,0 KV, PARA DISTRIBUIÇÃO - FORNECIMENTO E INSTALAÇÃO. AF_12/2015</t>
  </si>
  <si>
    <t>CAIXA DE PASSAGEM 30X30X40 COM TAMPA E DRENO BRITA (rede de distribuição elétrica)</t>
  </si>
  <si>
    <t>CAIXA DE PASSAGEM 30X30X40 COM TAMPA E DRENO BRITA (base dos postes de iluminação externa)</t>
  </si>
  <si>
    <t>So000072259</t>
  </si>
  <si>
    <t>So000072262</t>
  </si>
  <si>
    <t>TERMINAL OU CONECTOR DE PRESSAO - PARA CABO 35MM2 - FORNECIMENTO E INSTALACAO</t>
  </si>
  <si>
    <t>So000072265</t>
  </si>
  <si>
    <t>TERMINAL OU CONECTOR DE PRESSAO - PARA CABO 95MM2 - FORNECIMENTO E INSTALACAO</t>
  </si>
  <si>
    <t>7.1</t>
  </si>
  <si>
    <t>7.2</t>
  </si>
  <si>
    <t>7.3</t>
  </si>
  <si>
    <t>8.0</t>
  </si>
  <si>
    <t>8.1</t>
  </si>
  <si>
    <t>TOTAL 8.0=</t>
  </si>
  <si>
    <t>9.0</t>
  </si>
  <si>
    <t>9.1</t>
  </si>
  <si>
    <t>9.2</t>
  </si>
  <si>
    <t>9.3</t>
  </si>
  <si>
    <t>3.4</t>
  </si>
  <si>
    <t>3.5</t>
  </si>
  <si>
    <t>3.6</t>
  </si>
  <si>
    <t>TOTAL 9.0=</t>
  </si>
  <si>
    <t>PINTURA</t>
  </si>
  <si>
    <t>So000088489</t>
  </si>
  <si>
    <t>So07356</t>
  </si>
  <si>
    <t>So000088310</t>
  </si>
  <si>
    <t>ESQUADRIAS E FERRAGENS</t>
  </si>
  <si>
    <t>3.7</t>
  </si>
  <si>
    <t>3.8</t>
  </si>
  <si>
    <t>3.9</t>
  </si>
  <si>
    <t>3.10</t>
  </si>
  <si>
    <t>4.1</t>
  </si>
  <si>
    <t>4.2</t>
  </si>
  <si>
    <t>TOTAL 4.0=</t>
  </si>
  <si>
    <t>CONCRETO FCK = 20MPA, TRAÇO 1:2,7:3 (CIMENTO/ AREIA MÉDIA/ BRITA 1)  - PREPARO MECÂNICO COM BETONEIRA 400 L. AF_07/2016 (fundação postes de 4,5m  e 9,0m)</t>
  </si>
  <si>
    <t>74157/4</t>
  </si>
  <si>
    <t>LANCAMENTO/APLICACAO MANUAL DE CONCRETO EM FUNDACOES (fundação postes de 4,5m  e 9,0m)</t>
  </si>
  <si>
    <t>So000093655</t>
  </si>
  <si>
    <t>DISJUNTOR MONOPOLAR TIPO DIN, CORRENTE NOMINAL DE 20A - FORNECIMENTO E INSTALAÇÃO. AF_04/2016</t>
  </si>
  <si>
    <t>So01571</t>
  </si>
  <si>
    <t>TERMINAL A COMPRESSAO EM COBRE ESTANHADO PARA CABO 4 MM2, 1 FURO E 1 COMPRESSAO, PARA PARAFUSO DE FIXACAO M5</t>
  </si>
  <si>
    <t>TERMINAL OU CONECTOR DE PRESSAO - PARA CABO 6MM2 - FORNECIMENTO E INSTALACAO</t>
  </si>
  <si>
    <t>ESCAVAÇÃO MANUAL DE VALA COM PROFUNDIDADE MENOR OU IGUAL A 1,30 M. AF_03/2016 (fundação postes de 4,5m  e 9,0m)</t>
  </si>
  <si>
    <t>TOTAL GERAL COM BDI DE 23,38%=</t>
  </si>
  <si>
    <t>ENCARGOS SOCIAIS SOBRE PREÇOS DA MÃO-DE-OBRA: 120,30%(HORA) 75,07%(MÊS)</t>
  </si>
  <si>
    <t>So74145/001</t>
  </si>
  <si>
    <t>PINTURA ESMALTE FOSCO, DUAS DEMAOS, SOBRE SUPERFICIE METALICA, INCLUSO UMA DEMAO DE FUNDO ANTICORROSIVO. UTILIZACAO DE REVOLVER ( AR-COMPRIMIDO).</t>
  </si>
  <si>
    <t>So07307</t>
  </si>
  <si>
    <t>FUNDO ANTICORROSIVO PARA METAIS FERROSOS (ZARCAO)</t>
  </si>
  <si>
    <t>So07288</t>
  </si>
  <si>
    <t>TINTA ESMALTE SINTETICO PREMIUM FOSCO</t>
  </si>
  <si>
    <t>So05320</t>
  </si>
  <si>
    <t>REMOVEDOR DE TINTA OLEO/ESMALTE VERNIZ</t>
  </si>
  <si>
    <t>So03768</t>
  </si>
  <si>
    <t>LIXA EM FOLHA PARA FERRO, NUMERO 150</t>
  </si>
  <si>
    <t>UNIT COM BDI</t>
  </si>
  <si>
    <t>TOTAL COM BDI</t>
  </si>
  <si>
    <t>5.10</t>
  </si>
  <si>
    <t>5.11</t>
  </si>
  <si>
    <t>5.12</t>
  </si>
  <si>
    <t>CABO DE COBRE FLEXÍVEL ISOLADO, 16 MM², ANTI-CHAMA 450/750 V, PARA CIRCUITOS TERMINAIS - FORNECIMENTO E INSTALAÇÃO. AF_12/2016</t>
  </si>
  <si>
    <t>CABO DE COBRE FLEXÍVEL ISOLADO, 25 MM², ANTI-CHAMA 450/750 V, PARA CIRCUITOS TERMINAIS - FORNECIMENTO E INSTALAÇÃO. AF_12/2017</t>
  </si>
  <si>
    <t>SI000091934</t>
  </si>
  <si>
    <t>SI000092983</t>
  </si>
  <si>
    <t>So000095875</t>
  </si>
  <si>
    <t>M3XKM</t>
  </si>
  <si>
    <t>So000072898</t>
  </si>
  <si>
    <t>CARGA E DESCARGA MECANIZADAS DE ENTULHO EM CAMINHAO BASCULANTE 6 M3</t>
  </si>
  <si>
    <t>TRANSPORTE COM CAMINHÃO BASCULANTE DE 10 M3, EM VIA URBANA PAVIMENTADA, DMT ATÉ 30 KM (UNIDADE: M3XKM). AF_12/2016 . DMT = 11 KM (CTR)</t>
  </si>
  <si>
    <t>So000088483</t>
  </si>
  <si>
    <t>APLICAÇÃO DE FUNDO SELADOR LÁTEX PVA EM PAREDES, UMA DEMÃO. AF_06/2014 (muro do entorno)</t>
  </si>
  <si>
    <t>APLICAÇÃO MANUAL DE PINTURA COM TINTA LÁTEX ACRÍLICA EM PAREDES, DUAS DEMÃOS. AF_06/2014 (muro do entorno)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</si>
  <si>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</si>
  <si>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</si>
  <si>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</si>
  <si>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</si>
  <si>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</si>
  <si>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</si>
  <si>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</si>
  <si>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</si>
  <si>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</si>
  <si>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</si>
  <si>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</si>
  <si>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</si>
  <si>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</si>
  <si>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</si>
  <si>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</si>
  <si>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</si>
  <si>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</si>
  <si>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</si>
  <si>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</si>
  <si>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</si>
  <si>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4.3</t>
  </si>
  <si>
    <t>4.4</t>
  </si>
  <si>
    <t>4.5</t>
  </si>
  <si>
    <t>15.001.0070-0</t>
  </si>
  <si>
    <t>ABRIGO PARA HIDROMETRO DE 1/2" OU 3/4",NAS DIMENSOES DE 0,80X0,40X0,50M,EM ALVENARIA DE TIJOLOS FURADOS DE 10X20X20CM,PA REDES DE MEIA VEZ,REVESTIDAS COM ARGAMASSA DE CIMENTO E SAIBRO,NO TRACO 1:6,COM FUNDO DE CONCRETO E TAMPA DE CONCRETO AR MADO,PORTA DE 70X40CM EM CHAPA DE ACO N§16 E CADEADO DE 30MM,CONFORME PROJETO N§2089/EMOP (OBS.:3%-DESGASTE DE FERRAMENTAS E EPI).</t>
  </si>
  <si>
    <t>00004</t>
  </si>
  <si>
    <t>ARAME RECOZIDO N§ 18</t>
  </si>
  <si>
    <t>01990</t>
  </si>
  <si>
    <t>MAO-DE-OBRA DE CARPINTEIRO DE FORMA DE CONCRETO, INCLUSIVE ENCARGOS SOCIAIS</t>
  </si>
  <si>
    <t>So000089356</t>
  </si>
  <si>
    <t>TUBO, PVC, SOLDÁVEL, DN 25MM, INSTALADO EM RAMAL OU SUB-RAMAL DE ÁGUA - FORNECIMENTO E INSTALAÇÃO. AF_12/2014</t>
  </si>
  <si>
    <t>So38383</t>
  </si>
  <si>
    <t>LIXA D'AGUA EM FOLHA, GRAO 100</t>
  </si>
  <si>
    <t>So09868</t>
  </si>
  <si>
    <t>TUBO PVC, SOLDAVEL, DN 25 MM, AGUA FRIA (NBR-5648)</t>
  </si>
  <si>
    <t>18.009.0078-0</t>
  </si>
  <si>
    <t>TORNEIRA PARA JARDIM,DE 3/4"X10CM APROXIMADAMENTE,EM METAL CROMADO.FORNECIMENTO</t>
  </si>
  <si>
    <t>PROJETO:  Arq. Rosália Reis</t>
  </si>
  <si>
    <t>LEVANTAMENTO:   Arq. Rosália Reis</t>
  </si>
  <si>
    <t>INSTALAÇÕES HIDROSSANITÁRIAS E PLUVIAIS</t>
  </si>
  <si>
    <t>valor CEF=</t>
  </si>
  <si>
    <t>02339</t>
  </si>
  <si>
    <t>ADESIVO PLASTICO PARA PVC RIGIDO, EM BISNAGA DE 75G</t>
  </si>
  <si>
    <t>BASE E FUNDO DE CONCRETO SIMPLES,PARA POCOS DE VISITA,PADRAO CEDAE,DE ANEIS PRE-MOLDADOS COM DIAMETRO DE 1100MM,INCLUSIV E MAO-DE-OBRA E MATERIAL,INCLUSIVE LAJE DE REDUCAO DE CONCRETO ARMADO + CORPO DE POCO DE VISITA DE ANEIS PRE-MOLDADOS,COM DIAMETRO DE 1100MM,SEM DEGRAUS,MEDIDA PELA ALTURA UTIL,INCLUSIVE MAO-D E-OBRA E MATERIAL. (POÇO DE VISITA)</t>
  </si>
  <si>
    <t>03.001.0001-1</t>
  </si>
  <si>
    <t>ESCAVACAO MANUAL DE VALA/CAVA EM MATERIAL DE 1¦ CATEGORIA (A(AREIA,ARGILA OU PICARRA),ATE 1,50M DE PROFUNDIDADE,EXCLUSIV E ESCORAMENTO E ESGOTAMENTO (OBS.:3% - DESGASTE DE FERRAMENTAS E EPI).</t>
  </si>
  <si>
    <t>PO DE PEDRA (POSTO PEDREIRA/FORNECEDOR, SEM FRETE)</t>
  </si>
  <si>
    <t>CALCETEIRO COM ENCARGOS COMPLEMENTARES</t>
  </si>
  <si>
    <t>So04741</t>
  </si>
  <si>
    <t>So000088260</t>
  </si>
  <si>
    <t>So000091285</t>
  </si>
  <si>
    <t>So000091283</t>
  </si>
  <si>
    <t>So000091278</t>
  </si>
  <si>
    <t>01921</t>
  </si>
  <si>
    <t>MAO-DE-OBRA DE AJUDANTE DE CONSTRUCAO CIVIL, INCLUSIVE ENCARGOS SOCIAIS</t>
  </si>
  <si>
    <t>TRANSPORTE E BOTA-FORA</t>
  </si>
  <si>
    <t>adotado emop</t>
  </si>
  <si>
    <t>PLACA DE OBRA EM CHAPA DE ACO GALVANIZADO</t>
  </si>
  <si>
    <t>PLACA DE OBRA (PARA CONSTRUCAO CIVIL) EM CHAPA GALVANIZADA *N. 22*, DE *2,0 X 1,125* M</t>
  </si>
  <si>
    <t>SARRAFO DE MADEIRA NAO APARELHADA *2,5 X 7* CM, MACARANDUBA, ANGELIM OU EQUIVALENTE DA REGIAO</t>
  </si>
  <si>
    <t>02.020.0001-0</t>
  </si>
  <si>
    <t>PLACA DE IDENTIFICACAO DE OBRA PUBLICA,INCLUSIVE PINTURA E SUPORTES DE MADEIRA.FORNECIMENTO E COLOCACAO (OBS.:3% - DESGASTE DE FERRAMENTAS E EPI).</t>
  </si>
  <si>
    <t>So000005851</t>
  </si>
  <si>
    <t>So74005/001</t>
  </si>
  <si>
    <t>02.004.0001-0</t>
  </si>
  <si>
    <t>BARRACAO DE OBRA,COM PAREDES E PISO DE TABUAS DE MADEIRA DE 3¦,COBERTURA DE TELHAS DE FIBROCIMENTO DE 6MM,E INSTALACOES, EXCLUSIVE PINTURA,SENDO REAPROVEITADO 2 VEZES (OBS.:3% - DESGASTE DE FERRAMENTAS E EPI 1% - GRAMPO E ROSETA DE MADEIRA).</t>
  </si>
  <si>
    <t>02315</t>
  </si>
  <si>
    <t>DISJUNTOR MONOFASICO DE 250V, DE 010 A 030A</t>
  </si>
  <si>
    <t>05914</t>
  </si>
  <si>
    <t>INTERRUPTOR DE SOBREPOR SIMPLES, DE 10A-250V</t>
  </si>
  <si>
    <t>04915</t>
  </si>
  <si>
    <t>DOBRADICA EM FERRO LAMINADO, COM PINO DEFERRO REVERSIVEL, DE 3"X3"X5/64"</t>
  </si>
  <si>
    <t>02884</t>
  </si>
  <si>
    <t>FECHADURA DE SOBREPOR, TIPO CAIXAO, RETANGULAR, ACABAMENTO FERRO RESINADO PRETO,DE (100X86X38)MM</t>
  </si>
  <si>
    <t>02472</t>
  </si>
  <si>
    <t>GLOBO ESFERICO, EM VIDRO, TIPO LEITOSO,DE 4"X6"</t>
  </si>
  <si>
    <t>02317</t>
  </si>
  <si>
    <t>FITA ISOLANTE, ROLO DE 19MMX20M</t>
  </si>
  <si>
    <t>02316</t>
  </si>
  <si>
    <t>CORDAO PARALELO COM ISOLAMENTO TERMOPLASTICO, ATE 750V, DE 2X2,5MM2</t>
  </si>
  <si>
    <t>08000</t>
  </si>
  <si>
    <t>TELHA ONDULADA DE CIMENTO, SEM AMIANTO,REFORCADA C/FIOS SINTETICOS (CRFS), DE (2,44X1,10)M E C/ESPES. DE 6MM</t>
  </si>
  <si>
    <t>00252</t>
  </si>
  <si>
    <t>PARAFUSO C/ROSCA, DE (8x100)MM</t>
  </si>
  <si>
    <t>00600</t>
  </si>
  <si>
    <t>VIDRO PLANO TRANSPARENTE, COMUM, COM ESPESSURA DE 3MM</t>
  </si>
  <si>
    <t>00510</t>
  </si>
  <si>
    <t>RECEPTACULO DE PORCELANA P/LAMPADA INCANDESCENTE, BASE E-27</t>
  </si>
  <si>
    <t>01967</t>
  </si>
  <si>
    <t>MAO-DE-OBRA DE CARPINTEIRO DE ESQUADRIASDE MADEIRA INCLUSIVE ENCARGOS SOCIAIS</t>
  </si>
  <si>
    <t>00365</t>
  </si>
  <si>
    <t>59.003.0010-1 PINUS,PECA 1" X 12" E 1" X 9"</t>
  </si>
  <si>
    <t>INSTALACAO E LIGACAO PROVISORIA PARA ABASTECIMENTO DE AGUA E ESGOTAMENTO SANITARIO EM CANTEIRO DE OBRAS,INCLUSIVE ESCAVA CAO,EXCLUSIVE REPOSICAO DA PAVIMENTACAO DO LOGRADOURO PUBLICO (OBS.:3% - DESGASTE DE FERRAMENTAS E EPI).</t>
  </si>
  <si>
    <t>00843</t>
  </si>
  <si>
    <t>TUBO CERAMICO, ESGOTO SANITARIO, DE 100MM E COM COMPRIMENTO DE 1,00M</t>
  </si>
  <si>
    <t>00559</t>
  </si>
  <si>
    <t>TIJOLO CERAMICO, FURADO, DE (10X20X20)CM</t>
  </si>
  <si>
    <t>00148</t>
  </si>
  <si>
    <t>TUBO DE ACO GALVANIZADO, COM COSTURA, PESADO, NBR 5580, DN=3/4"</t>
  </si>
  <si>
    <t>00788</t>
  </si>
  <si>
    <t>CAIXA D'AGUA DE FIBRA DE VIDRO OU POLIETILENO, COM CAPACIDADE DE 1000 LITROS</t>
  </si>
  <si>
    <t>00872</t>
  </si>
  <si>
    <t>CURVA 45§ OU 90§ DE CERAMICA PARA ESGOTOCOM JUNTA ARGAMASSA, DE 0100MM</t>
  </si>
  <si>
    <t>00702</t>
  </si>
  <si>
    <t>REGISTRO DE GAVETA DE BRONZE, DE 1¦ QUALIDADE COM ROSCA DE AMBOS OS LADOS, DE 3/4"</t>
  </si>
  <si>
    <t>00688</t>
  </si>
  <si>
    <t>LIGACAO DE AGUA CEDAE, PARA INSTALACAO NO PASSEIO, DE 3/4", VAZAO DE 3,0M3/H (VALOR TOTAL)</t>
  </si>
  <si>
    <t>02082</t>
  </si>
  <si>
    <t>15.071.0012-1 LIGACAO AGUAS PLUVIAIS OU DOMICILIARES</t>
  </si>
  <si>
    <t>So02392</t>
  </si>
  <si>
    <t>DISJUNTOR TIPO NEMA, TRIPOLAR 10  ATE  50A, TENSAO MAXIMA DE 415 V</t>
  </si>
  <si>
    <t>So00406</t>
  </si>
  <si>
    <t>FITA ACO INOX PARA CINTAR POSTE, L = 19 MM, E = 0,5 MM (ROLO DE 30M)</t>
  </si>
  <si>
    <t>So00420</t>
  </si>
  <si>
    <t>CINTA CIRCULAR EM ACO GALVANIZADO DE 150 MM DE DIAMETRO PARA FIXACAO DE CAIXA MEDICAO, INCLUI PARAFUSOS E PORCAS</t>
  </si>
  <si>
    <t>So00857</t>
  </si>
  <si>
    <t>CABO DE COBRE NU 16 MM2 MEIO-DURO</t>
  </si>
  <si>
    <t>So00937</t>
  </si>
  <si>
    <t>FIO DE COBRE, SOLIDO, CLASSE 1, ISOLACAO EM PVC/A, ANTICHAMA BWF-B, 450/750V, SECAO NOMINAL 10 MM2</t>
  </si>
  <si>
    <t>So01062</t>
  </si>
  <si>
    <t>CAIXA INTERNA DE MEDICAO PARA 1 MEDIDOR TRIFASICO, COM VISOR, EM CHAPA DE ACO 18 USG (PADRAO DA CONCESSIONARIA LOCAL)</t>
  </si>
  <si>
    <t>So01096</t>
  </si>
  <si>
    <t>ARMACAO VERTICAL COM HASTE E CONTRA-PINO, EM CHAPA DE ACO GALVANIZADO 3/16", COM 4 ESTRIBOS E 4 ISOLADORES</t>
  </si>
  <si>
    <t>So01892</t>
  </si>
  <si>
    <t>LUVA EM PVC RIGIDO ROSCAVEL, DE 1", PARA ELETRODUTO</t>
  </si>
  <si>
    <t>So39210</t>
  </si>
  <si>
    <t>ARRUELA EM ALUMINIO, COM ROSCA, DE 1", PARA ELETRODUTO</t>
  </si>
  <si>
    <t>So02685</t>
  </si>
  <si>
    <t>ELETRODUTO DE PVC RIGIDO ROSCAVEL DE 1 ", SEM LUVA</t>
  </si>
  <si>
    <t>So02731</t>
  </si>
  <si>
    <t>MADEIRA ROLICA TRATADA, EUCALIPTO OU EQUIVALENTE DA REGIAO, H = 12 M, D = 20 A 24 CM (PARA POSTE)</t>
  </si>
  <si>
    <t>So04346</t>
  </si>
  <si>
    <t>PARAFUSO DE FERRO POLIDO, SEXTAVADO, COM ROSCA PARCIAL, DIAMETRO 5/8", COMPRIMENTO 6", COM PORCA E ARRUELA DE PRESSAO MEDIA</t>
  </si>
  <si>
    <t>So11267</t>
  </si>
  <si>
    <t>ARRUELA REDONDA DE LATAO, DIAMETRO EXTERNO = 34 MM, ESPESSURA = 2,5 MM, DIAMETRO DO FURO = 17 MM</t>
  </si>
  <si>
    <t>So12034</t>
  </si>
  <si>
    <t>CURVA 180 GRAUS, DE PVC RIGIDO ROSCAVEL, DE 3/4", PARA ELETRODUTO</t>
  </si>
  <si>
    <t>So39176</t>
  </si>
  <si>
    <t>BUCHA EM ALUMINIO, COM ROSCA, DE 1", PARA ELETRODUTO</t>
  </si>
  <si>
    <t>So01539</t>
  </si>
  <si>
    <t>CONECTOR METALICO TIPO PARAFUSO FENDIDO (SPLIT BOLT), PARA CABOS ATE 16 MM2</t>
  </si>
  <si>
    <t>DEMOLIÇÃO DE ALVENARIA DE BLOCO FURADO, DE FORMA MANUAL, SEM REAPROVEITAMENTO. AF_12/2017</t>
  </si>
  <si>
    <t>08.035.0001-0</t>
  </si>
  <si>
    <t>CAMADA DE BLOQUEIO(COLCHAO)DE PO-DE-PEDRA,ESPALHADO E COMPRIMIDO MECANICAMENTE,MEDIDA APOS COMPACTACAO (OBS.:3%-DESGASTE DE FERRAMENTAS E EPI).</t>
  </si>
  <si>
    <t>14574</t>
  </si>
  <si>
    <t>PO DE PEDRA, PARA REGIAO METROPOLITANA DO RIO DE JANEIRO</t>
  </si>
  <si>
    <t>T</t>
  </si>
  <si>
    <t>14536</t>
  </si>
  <si>
    <t>BRITA 0, PARA REGIAO DE BARRA MANSA, EXCLUSIVE TRANSPORTE</t>
  </si>
  <si>
    <t>01056</t>
  </si>
  <si>
    <t>19.005.0012-4 MOTONIVELADORA, DIESEL 125CV (CI)</t>
  </si>
  <si>
    <t>01054</t>
  </si>
  <si>
    <t>19.005.0012-2 MOTONIVELADORA, DIESEL 125CV (CP)</t>
  </si>
  <si>
    <t>01022</t>
  </si>
  <si>
    <t>19.006.0004-2 ROLO ESTATICO DE 3 RODAS,AUTOPROPELIDO,99 HP (CP)</t>
  </si>
  <si>
    <t>01012</t>
  </si>
  <si>
    <t>19.004.0020-4 CAMINHAO TANQUE 6000L (CI)</t>
  </si>
  <si>
    <t>01010</t>
  </si>
  <si>
    <t>19.004.0020-2 CAMINHAO TANQUE 6000L (CP)</t>
  </si>
  <si>
    <t>So000092398</t>
  </si>
  <si>
    <t>CORDOES DE CONCRETO SIMPLES,COM SECAO DE 10X25CM,MOLDADOS NO LOCAL,INCLUSIVE ESCAVACAO E REATERRO (OBS.:3%-DESGASTE DE FERRAMENTAS E EPI).</t>
  </si>
  <si>
    <t>01764</t>
  </si>
  <si>
    <t>11.002.0035-1 LANCAMENTO CONC.S/ARM.2,0M3/H, HORIZ.</t>
  </si>
  <si>
    <t>01756</t>
  </si>
  <si>
    <t>11.002.0027-1 LANCAMENTO CONC.S/ARM.7,0M3/H,HORIZ/VERT</t>
  </si>
  <si>
    <t>01640</t>
  </si>
  <si>
    <t>11.004.0021-1 FORMAS MADEIRA PARAM. PLANOS, 2 VEZES</t>
  </si>
  <si>
    <t>01607</t>
  </si>
  <si>
    <t>07.002.0030-1 ARGAMASSA CIM.,AREIA TRACO 1:4,PREPAROMECANICO</t>
  </si>
  <si>
    <t>utilizado preço emop</t>
  </si>
  <si>
    <t>15.036.0053-0</t>
  </si>
  <si>
    <t>TUBO DE PVC RIGIDO DE 150MM,SOLDAVEL,INCLUSIVE CONEXOES E EMENDAS,EXCLUSIVE ABERTURA E FECHAMENTO DE RASGO.FORNECIMENTO E ASSENTAMENTO (OBS.:3%-DESGASTE DE FERRAMENTAS E EPI 10%-CONEXOES E EMENDAS).</t>
  </si>
  <si>
    <t>05070</t>
  </si>
  <si>
    <t>TUBO DE PVC RIGIDO LEVE CIRCULAR EM BARRAS DE 6,00M, COM PONTA E BOLSA LISAS, DE150MM</t>
  </si>
  <si>
    <t>So41930</t>
  </si>
  <si>
    <t>TUBO COLETOR DE ESGOTO PVC, JEI, DN 200 MM (NBR 7362)</t>
  </si>
  <si>
    <t>15.036.0092-0</t>
  </si>
  <si>
    <t>TUBO DE PVC(NBR-7362),PARA ESGOTO SANITARIO,COM DIAMETRO NOMINAL DE 200MM,INCLUSIVE ANEL DE BORRACHA.FORNECIMENTO E COLO CACAO (OBS.:3%-DESGASTE DE FERRAMENTAS E EPI).</t>
  </si>
  <si>
    <t>05118</t>
  </si>
  <si>
    <t>So41931</t>
  </si>
  <si>
    <t>TUBO COLETOR DE ESGOTO PVC, JEI, DN 250 MM (NBR 7362)</t>
  </si>
  <si>
    <t>So000092210</t>
  </si>
  <si>
    <t>So07745</t>
  </si>
  <si>
    <t>TUBO CONCRETO ARMADO, CLASSE PA-1, PB, DN 400 MM, PARA AGUAS PLUVIAIS (NBR 8890)</t>
  </si>
  <si>
    <t>So000088629</t>
  </si>
  <si>
    <t>So000005632</t>
  </si>
  <si>
    <t>So000005631</t>
  </si>
  <si>
    <t>So07714</t>
  </si>
  <si>
    <t>TUBO CONCRETO ARMADO, CLASSE PA-1, PB, DN 500 MM, PARA AGUAS PLUVIAIS (NBR 8890)</t>
  </si>
  <si>
    <t>So000092212</t>
  </si>
  <si>
    <t>So07725</t>
  </si>
  <si>
    <t>TUBO CONCRETO ARMADO, CLASSE PA-1, PB, DN 600 MM, PARA AGUAS PLUVIAIS (NBR 8890)</t>
  </si>
  <si>
    <t>06.017.0041-0</t>
  </si>
  <si>
    <t>BASE E FUNDO DE CONCRETO SIMPLES,PARA POCOS DE VISITA,PADRAO CEDAE,DE ANEIS PRE-MOLDADOS COM DIAMETRO DE 1100MM,INCLUSIV E MAO-DE-OBRA E MATERIAL,INCLUSIVE LAJE DE REDUCAO DE CONCRETO ARMADO</t>
  </si>
  <si>
    <t>00045</t>
  </si>
  <si>
    <t>PLACA DE CONCRETO INTERM.P/POCO DE VIS.DE ESG.SANIT.,ARMADA,ACORDO C/ESPEC.CEDAE,C/ABERT.EXCENTR.DIAM.1,30,C/ESPES.0,12M</t>
  </si>
  <si>
    <t>00029</t>
  </si>
  <si>
    <t>ACO CA-25, ESTIRADO, PRECO DE REVENDEDOR, NO DIAMETRO DE 06,3MM</t>
  </si>
  <si>
    <t>01633</t>
  </si>
  <si>
    <t>11.001.0001-1 CONCRETO FCK 10MPA</t>
  </si>
  <si>
    <t>06.017.0065-0</t>
  </si>
  <si>
    <t>CORPO DE POCO DE VISITA DE ANEIS PRE-MOLDADOS,COM DIAMETRO DE 1100MM,SEM DEGRAUS,MEDIDA PELA ALTURA UTIL,INCLUSIVE MAO-D E-OBRA E MATERIAL</t>
  </si>
  <si>
    <t>00044</t>
  </si>
  <si>
    <t>ANEL DE CONCRETO CIRCULAR, COM 1,10M DEDIAMETRO X 0,30M DE ALTURA X 0,08M DE ESPESSURA</t>
  </si>
  <si>
    <t>So000073714</t>
  </si>
  <si>
    <t>CAIXA PARA RALO C OM GRELHA FOFO 135 KG DE ALV TIJOLO MACICO (7X10X20) PAREDES DE UMA VEZ (0.20 M) DE 0.90X1.20X1.50 M (EXTERNA) COM ARGAMASSA 1:4 CIMENTO:AREIA, BASE CONC FCK=10 MPA, EXCLUSIVE ESCAVACAO E REATERRO.</t>
  </si>
  <si>
    <t>05660</t>
  </si>
  <si>
    <t>PORTA CADEADO EM FERRO ZINCADO, DE 4.1/2"</t>
  </si>
  <si>
    <t>05468</t>
  </si>
  <si>
    <t>CADEADO COM DUPLA TRAVA, DISCO DE SEGURANCA ANTI GAZUA, CORPO DE LATAO MACICO, CILINDRO DE LATAO TREFILADO, DE 30MM</t>
  </si>
  <si>
    <t>00349</t>
  </si>
  <si>
    <t>PINUS, EM PECAS DE 2,50X30,00CM (1"X12")</t>
  </si>
  <si>
    <t>00160</t>
  </si>
  <si>
    <t>CHAPA DE ACO CARBONO, GALVANIZADA, PARAUSOS GERAIS, TAMANHO PADRAO, PRECO DE REVENDEDOR, COM ESPESSURA DE 0,5MM</t>
  </si>
  <si>
    <t>00011</t>
  </si>
  <si>
    <t>CANTONEIRA DE ACO DOCE, P/SERRALHERIA, PRECO DE REVENDEDOR, DE 5/8"X1/8" ATE 1.1/2"X1/8"</t>
  </si>
  <si>
    <t>01604</t>
  </si>
  <si>
    <t>07.006.0020-1 ARGAMASSA CIM.,SAIBRO TRACO 1:6,PREPAROMECANICO</t>
  </si>
  <si>
    <t>multipla</t>
  </si>
  <si>
    <t>07018</t>
  </si>
  <si>
    <t>TORNEIRA PARA JARDIM, EM METAL CROMADO,DE APROXIMADAMENTE 3/4"X10CM</t>
  </si>
  <si>
    <t>21.003.0055-0</t>
  </si>
  <si>
    <t>11462</t>
  </si>
  <si>
    <t>POSTE DE ACO RETO, CONICO CONTINUO, COMALTURA DE 4,50M, COM SAPATA</t>
  </si>
  <si>
    <t>A</t>
  </si>
  <si>
    <t>21.020.0065-0</t>
  </si>
  <si>
    <t>LUMINARIA COM LAMPADA DE DESCARGA,COM OU SEM REATOR INTEGRADO,EM PONTA DE BRACO OU POSTE RETO(ACO OU CONCRETO)ATE 6M DE ALTURA,EXCLUSIVE FORNECIMENTO DA LUMINARIA.COLOCACAO (OBS.:3%-DESGASTE DE FERRAMENTAS E EPI).</t>
  </si>
  <si>
    <t>01919</t>
  </si>
  <si>
    <t>MAO-DE-OBRA DE AJUDANTE DE MONTADOR ELETROMECANICO (ILUMINACAO PUBLICA), INCLUSIVE ENCARGOS SOCIAIS</t>
  </si>
  <si>
    <t>B</t>
  </si>
  <si>
    <t>Fornecimento da luminária de led 100W</t>
  </si>
  <si>
    <t xml:space="preserve"> luminárias led 100W</t>
  </si>
  <si>
    <t>Preço mediano=</t>
  </si>
  <si>
    <t>21.003.0057-0</t>
  </si>
  <si>
    <t>11473</t>
  </si>
  <si>
    <t>POSTE DE ACO RETO, CONICO CONTINUO, COMSAPATA, COMPRIMENTO DE 9M</t>
  </si>
  <si>
    <t>21.020.0075-0</t>
  </si>
  <si>
    <t>LUMINARIA FECHADA COM LAMPADA DE DESCARGA,COM REATOR INTEGRADO,EM PONTA DE BRACO OU POSTE DE ACO CURVO ATE 10,00M DE ALT URA,EXCLUSIVE FORNECIMENTO DA LUMINARIA.COLOCACAO (OBS.:3%-DESGASTE DE FERRAMENTAS E EPI).</t>
  </si>
  <si>
    <t>Fornecimento da luminária de led 150W</t>
  </si>
  <si>
    <t xml:space="preserve"> luminárias led 150W</t>
  </si>
  <si>
    <t>CAIXA DE PASSAGEM 30X30X40 COM TAMPA E DRENO BRITA</t>
  </si>
  <si>
    <t>TIJOLO CERAMICO MACICO *5 X 10 X 20* CM</t>
  </si>
  <si>
    <t>PEDRA BRITADA N. 3 (38 A 50 MM) POSTO PEDREIRA/FORNECEDOR, SEM FRETE</t>
  </si>
  <si>
    <t>CHAPA DE MADEIRA COMPENSADA RESINADA PARA FORMA DE CONCRETO, DE *2,2 X 1,1* M, E = 17 MM</t>
  </si>
  <si>
    <t>CAL HIDRATADA CH-I PARA ARGAMASSAS</t>
  </si>
  <si>
    <t>ESCAVAÇÃO MANUAL DE VALA COM PROFUNDIDADE MENOR OU IGUAL A 1,30 M. AF_03/2016</t>
  </si>
  <si>
    <t>So000094964</t>
  </si>
  <si>
    <t>CONCRETO FCK = 20MPA, TRAÇO 1:2,7:3 (CIMENTO/ AREIA MÉDIA/ BRITA 1)  - PREPARO MECÂNICO COM BETONEIRA 400 L. AF_07/2016</t>
  </si>
  <si>
    <t>NUCLEO SIMPLES P/LUMINARIAS DECORATIVAS LDRJ-07/09,EM ACO DE BAIXO TEOR DE CARBONO SAE 1010/1020 GALVANIZADO A FUSAO,INT ERNA E EXTERNAMENTE POR IMERSAO UNICA EM BANHO DE ZINCO,CONFORME NBR-7398 E 7400 DA ABNT,NUCLEO DIAM.INTERNO 68MM,C/PESC COCO DE 50MM DE ALTURA E DIAMETRO EXTERNO 48MM,CONFORME DESENHO A2-1824-PD E ESPECIFICACAO EM-RIOLUZ N§40.FORNECIMENTO</t>
  </si>
  <si>
    <t>11701</t>
  </si>
  <si>
    <t>BASE SIMPLES, PARA TOPO POSTE, EM ACO DEGALVANIZADO, PARA FIXACAO DE 1 LUMINARIA LDRJ-07 OU 09</t>
  </si>
  <si>
    <t>So34616</t>
  </si>
  <si>
    <t>DISJUNTOR TIPO DIN/IEC, BIPOLAR DE 6 ATE 32A</t>
  </si>
  <si>
    <t>So01570</t>
  </si>
  <si>
    <t>TERMINAL A COMPRESSAO EM COBRE ESTANHADO PARA CABO 2,5 MM2, 1 FURO E 1 COMPRESSAO, PARA PARAFUSO DE FIXACAO M5</t>
  </si>
  <si>
    <t>03894</t>
  </si>
  <si>
    <t>POSTE CONCRETO, C/SECAO CIRCULAR, 07,00MCOMPR., PADRAO ABNT, EXCL. TRANSP., C/GCARGA NOM.HORIZ.NO TOPO, DE 200KGF</t>
  </si>
  <si>
    <t>00289</t>
  </si>
  <si>
    <t>CABO SOLIDO DE COBRE ELETROLITICO NU, TEMPERA MOLE, CLASSE 2, SECAO CIRCULAR DE10,0 A 500,0MM2</t>
  </si>
  <si>
    <t>02347</t>
  </si>
  <si>
    <t>ELETRODUTO DE PVC PRETO,RIGIDO ROSQUEAVEL,COM ROSCA EM AMBAS EXTREMIDADES,EM BARRAS DE 3 METROS,DE 2.1/2"</t>
  </si>
  <si>
    <t>03888</t>
  </si>
  <si>
    <t>LUVA DE PVC RIGIDO ROSQUEAVEL, PARA ELETRODUTO, DE 2.1/2"</t>
  </si>
  <si>
    <t>11927</t>
  </si>
  <si>
    <t>CAIXA PROTECAO (CPG225) INTERNA, PARA ENTRADA DE ENERGIA INDIVIDUAL PADRAO LIGHT</t>
  </si>
  <si>
    <t>03970</t>
  </si>
  <si>
    <t>ARMACAO SECUNDARIA, COMPLETA, PARA 4 LINHAS</t>
  </si>
  <si>
    <t>03971</t>
  </si>
  <si>
    <t>CINTA GALVANIZADA, COM PARAFUSOS, DE 6"</t>
  </si>
  <si>
    <t>03977</t>
  </si>
  <si>
    <t>HASTE TERRA, TIPO CANTONEIRA GALVANIZADA, DE 2,00M</t>
  </si>
  <si>
    <t>04210</t>
  </si>
  <si>
    <t>ISOLADOR TIPO CARRETILHA, MARROM, DE (72X72)MM</t>
  </si>
  <si>
    <t>04271</t>
  </si>
  <si>
    <t>BUCHA E ARRUELA DE ALUMINIO PARA ELETRODUTO, DE 2.1/2"</t>
  </si>
  <si>
    <t>05997</t>
  </si>
  <si>
    <t>BOX DE ALUMINIO CURVO, DE 2.1/2"</t>
  </si>
  <si>
    <t>08026</t>
  </si>
  <si>
    <t>CONECTOR PARAFUSO FENDIDO, TIPO SPLIT BOLT, FABRICADO EM COBRE, PARA CABO DE 120MM2</t>
  </si>
  <si>
    <t>11922</t>
  </si>
  <si>
    <t>CAIXA TRANSPARENTE PARA MEDICAO DIRETA(CTM), PARA ENTRADA DE ENERGIA INDIVIDUAL, PADRAO LIGHT</t>
  </si>
  <si>
    <t>11923</t>
  </si>
  <si>
    <t>CAIXA DISJUSTOR MONOPOLAR (CDJ1) INTERNA, PARA ENTRADA DE ENERGIA INDIVIDUAL PADRAO LIGHT</t>
  </si>
  <si>
    <t>11926</t>
  </si>
  <si>
    <t>CAIXA SECCIONADORA (CSM200), PARA ENTRADA DE ENERGIA INDIVIDUAL, PADRAO LIGHT</t>
  </si>
  <si>
    <t>02944</t>
  </si>
  <si>
    <t>CURVA 90§ DE PVC RIGIDO, ROSQUEAVEL, PARA ELETRODUTO, DE 2.1/2"</t>
  </si>
  <si>
    <t>02129</t>
  </si>
  <si>
    <t>11.013.0070-1 CONCRETO ARMADO FCK 15MPA</t>
  </si>
  <si>
    <t>02057</t>
  </si>
  <si>
    <t>04.005.0123-1 TRANSPORTE CARGA CAMINHAO 8T, 30KM/H</t>
  </si>
  <si>
    <t>T X KM</t>
  </si>
  <si>
    <t>02345</t>
  </si>
  <si>
    <t>ELETRODUTO DE PVC PRETO, RIGIDO ROSQUEAVEL, COM ROSCA EM AMBAS EXTREMIDADES, EMBARRAS DE 3 METROS, DE 1.1/2"</t>
  </si>
  <si>
    <t>So000083399</t>
  </si>
  <si>
    <t>So02510</t>
  </si>
  <si>
    <t>RELE FOTOELETRICO INTERNO E EXTERNO BIVOLT 1000 W, DE CONECTOR, SEM BASE</t>
  </si>
  <si>
    <t>So00980</t>
  </si>
  <si>
    <t>CABO DE COBRE, FLEXIVEL, CLASSE 4 OU 5, ISOLACAO EM PVC/A, ANTICHAMA BWF-B, 1 CONDUTOR, 450/750 V, SECAO NOMINAL 10 MM2</t>
  </si>
  <si>
    <t>CABO DE COBRE FLEXÍVEL ISOLADO, 16 MM², ANTI-CHAMA 450/750 V, PARA CIRCUITOS TERMINAIS - FORNECIMENTO E INSTALAÇÃO. AF_12/2015</t>
  </si>
  <si>
    <t>CABO DE COBRE FLEXÍVEL ISOLADO, 25 MM², ANTI-CHAMA 450/750 V, PARA DISTRIBUIÇÃO - FORNECIMENTO E INSTALAÇÃO. AF_12/2015</t>
  </si>
  <si>
    <t>TERMINAL OU CONECTOR DE PRESSAO - PARA CABO 10MM2 - FORNECIMENTO E INSTALACAO</t>
  </si>
  <si>
    <t>So01535</t>
  </si>
  <si>
    <t>TERMINAL METALICO A PRESSAO PARA 1 CABO DE 6 A 10 MM2, COM 1 FURO DE FIXACAO</t>
  </si>
  <si>
    <t>So01587</t>
  </si>
  <si>
    <t>TERMINAL METALICO A PRESSAO PARA 1 CABO DE 35 MM2, COM 1 FURO DE FIXACAO</t>
  </si>
  <si>
    <t>So01590</t>
  </si>
  <si>
    <t>TERMINAL METALICO A PRESSAO PARA 1 CABO DE 95 MM2, COM 1 FURO DE FIXACAO</t>
  </si>
  <si>
    <t>PORTAO DE CHAPA DE FERRO GALVANIZADO,COM ESPESSURA DE 0,5MM,COM ALTURA ENTRE 2M E 3M E AREA TOTAL DE 6M2 A 9M2,EXCLUSIVE FECHADURA.FORNECIMENTO E COLOCACAO (OBS.:3%-DESGASTE DE FERRAMENTAS E EPI 15%-PERDAS E DEMAIS MATERIAIS NECESSARIOS).</t>
  </si>
  <si>
    <t>11243</t>
  </si>
  <si>
    <t>CHAPA DE ACO GALVANIZADO, N§26 (0,50MM)</t>
  </si>
  <si>
    <t>So74084/001</t>
  </si>
  <si>
    <t>So41758</t>
  </si>
  <si>
    <t>CADEADO EM ACO INOX, LARGURA DE *50* MM, COM HASTE EM ACO TEMPERADO, SEM MOLA - CHAVES INCLUIDAS</t>
  </si>
  <si>
    <t>So05088</t>
  </si>
  <si>
    <t>PORTA CADEADO,  3 1/2", EM ACO ZINCADO, PRETO, PARA PORTAO E JANELA</t>
  </si>
  <si>
    <r>
      <t xml:space="preserve">APLICAÇÃO DE FUNDO SELADOR LÁTEX PVA EM PAREDES, UMA DEMÃO. AF_06/2014 </t>
    </r>
    <r>
      <rPr>
        <b/>
        <sz val="12"/>
        <rFont val="Arial"/>
        <family val="2"/>
      </rPr>
      <t>(MURO DO ENTORNO)</t>
    </r>
  </si>
  <si>
    <t>APLICAÇÃO DE FUNDO SELADOR LÁTEX PVA EM PAREDES, UMA DEMÃO. AF_06/2014</t>
  </si>
  <si>
    <t>So06090</t>
  </si>
  <si>
    <t>SELADOR PVA PAREDES INTERNAS</t>
  </si>
  <si>
    <r>
      <t xml:space="preserve">APLICAÇÃO MANUAL DE PINTURA COM TINTA LÁTEX ACRÍLICA EM PAREDES, DUAS DEMÃOS. AF_06/2014 </t>
    </r>
    <r>
      <rPr>
        <b/>
        <sz val="12"/>
        <rFont val="Arial"/>
        <family val="2"/>
      </rPr>
      <t>(MURO DO ENTORNO)</t>
    </r>
  </si>
  <si>
    <t>So000005940</t>
  </si>
  <si>
    <t>So000005811</t>
  </si>
  <si>
    <t>TRANSPORTE COM CAMINHÃO BASCULANTE DE 10 M3, EM VIA URBANA PAVIMENTADA, DMT ATÉ 30 KM (UNIDADE: M3XKM). AF_12/2016</t>
  </si>
  <si>
    <t>So000091387</t>
  </si>
  <si>
    <t>So000091386</t>
  </si>
  <si>
    <t>Descarga de materiais e residuos originarios da construcao civil(rcc),classe c (nao reutilizaveis),em locais de disposic ao final autorizados e/ou licenciados a operar pelos orgaosde controle ambiental</t>
  </si>
  <si>
    <t>CTR</t>
  </si>
  <si>
    <t>Tarifa de vazamento de residuos originarios da construcao civil, classe c (resolucao 307 da conama)</t>
  </si>
  <si>
    <t>TOTAL GERAL =</t>
  </si>
  <si>
    <t>MEMÓRIA DE CÁLCULO</t>
  </si>
  <si>
    <t>CÓDIGO</t>
  </si>
  <si>
    <t>DESCRIÇÃO DO SERVIÇO OU FORNECIMENTO</t>
  </si>
  <si>
    <t>UNIDADE</t>
  </si>
  <si>
    <t xml:space="preserve">DATA BASE </t>
  </si>
  <si>
    <t>PREÇO REFERENCIAL</t>
  </si>
  <si>
    <t>CNPJ</t>
  </si>
  <si>
    <t>NOME DA EMPRESA FORNECEDORA</t>
  </si>
  <si>
    <t>TELEFONE</t>
  </si>
  <si>
    <t>CONTATO</t>
  </si>
  <si>
    <t>DATA COTAÇÃO</t>
  </si>
  <si>
    <t>PREÇO COTADO</t>
  </si>
  <si>
    <t>PREÇO MÉDIO</t>
  </si>
  <si>
    <t>Fornecimento da luminária de led 150w</t>
  </si>
  <si>
    <t>18.923.774/0001-50</t>
  </si>
  <si>
    <t>LEDMAX</t>
  </si>
  <si>
    <t xml:space="preserve">(11) 4784-4479 </t>
  </si>
  <si>
    <t>VIA SITE</t>
  </si>
  <si>
    <t>12.966.746/0001-33</t>
  </si>
  <si>
    <t>ENERGIA EXTRA</t>
  </si>
  <si>
    <t>(11) 2359-6651</t>
  </si>
  <si>
    <t>23.429.903/0001-98</t>
  </si>
  <si>
    <t>ILUMINIM</t>
  </si>
  <si>
    <t>0800 580 0332</t>
  </si>
  <si>
    <t>Fornecimento da luminária de led 100w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</si>
  <si>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</si>
  <si>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Orçamentista: Eng. Alfredo Antonio Nicolau M. Cunha</t>
  </si>
  <si>
    <t xml:space="preserve">CRONOGRAMA  FÍSICO-FINANCEIRO </t>
  </si>
  <si>
    <t>DESCRIÇÃO</t>
  </si>
  <si>
    <t>PERÍODO</t>
  </si>
  <si>
    <t>30 DIAS</t>
  </si>
  <si>
    <t>60 DIAS</t>
  </si>
  <si>
    <t>90 DIAS</t>
  </si>
  <si>
    <t>120 DIAS</t>
  </si>
  <si>
    <t>150 DIAS</t>
  </si>
  <si>
    <t>180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</si>
  <si>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</si>
  <si>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</si>
  <si>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</si>
  <si>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</si>
  <si>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</si>
  <si>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</si>
  <si>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</si>
  <si>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</si>
  <si>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Serviço: Infra Estrutura Basica do Complexo Esportivo</t>
  </si>
  <si>
    <t>Local:  Terreno do Leão do Sul, Colonia Santo Antonio, Barra Mansa</t>
  </si>
  <si>
    <t>PISOS E PAVIMENTO</t>
  </si>
  <si>
    <t>ENTORNO, PARQUES E JARDINS</t>
  </si>
  <si>
    <t>5.33</t>
  </si>
  <si>
    <t>RELE FOTOELETRICO P/ COMANDO DE ILUMINACAO EXTERNA 110V/1000W - FORNECIMENTO E INSTALACAO</t>
  </si>
  <si>
    <t>CONCRETO DOSADO RACIONALMENTE PARA UMA RESISTENCIA CARACTERISTICA A COMPRESSAO DE 15MPA,INCLUSIVE MATERIAIS,TRANSPORTE,P REPARO COM BETONEIRA,LANCAMENTO E ADENSAMENTO</t>
  </si>
  <si>
    <r>
      <t>ALVENARIA DE BLOCOS DE CONCRETO 10X20X40CM,ASSENTES COM ARGAMASSA DE CIMENTO E AREIA,NO TRACO 1:8,EM PAREDES DE 0,10M DE ESPESSURA,DE SUPERFICIE CORRIDA,ATE 3,00M DE ALTURA E MEDIDAPELA AREA REAL</t>
    </r>
    <r>
      <rPr>
        <b/>
        <sz val="12"/>
        <rFont val="Arial"/>
        <family val="2"/>
      </rPr>
      <t xml:space="preserve"> (ABRIGO PARA TORNEIRA DE JARDIM)</t>
    </r>
  </si>
  <si>
    <t>PREENCHIMENTO COM CONCRETO DE 15MPA EM VAZIOS DE ALVENARIA DE BLOCOS DE CONCRETO 10X20X40CM,EM PAREDES DE 10CM,MEDIDO PE LA AREA REAL,EXCLUSIVE ARMACAO E A ALVENARIA  (ABRIGO PARA TORNEIRA DE JARDIM)</t>
  </si>
  <si>
    <r>
      <t xml:space="preserve">CONCRETO DOSADO RACIONALMENTE PARA UMA RESISTENCIA CARACTERISTICA A COMPRESSAO DE 15MPA,INCLUSIVE MATERIAIS,TRANSPORTE,P REPARO COM BETONEIRA,LANCAMENTO E ADENSAMENTO  </t>
    </r>
    <r>
      <rPr>
        <b/>
        <sz val="12"/>
        <rFont val="Arial"/>
        <family val="2"/>
      </rPr>
      <t>(ABRIGO PARA TORNEIRA DE JARDIM)</t>
    </r>
  </si>
  <si>
    <r>
      <t xml:space="preserve">PREENCHIMENTO COM CONCRETO DE 15MPA EM VAZIOS DE ALVENARIA DE BLOCOS DE CONCRETO 10X20X40CM,EM PAREDES DE 10CM,MEDIDO PE LA AREA REAL,EXCLUSIVE ARMACAO E A ALVENARIA  </t>
    </r>
    <r>
      <rPr>
        <b/>
        <sz val="12"/>
        <rFont val="Arial"/>
        <family val="2"/>
      </rPr>
      <t>(ABRIGO PARA TORNEIRA DE JARDIM)</t>
    </r>
  </si>
  <si>
    <t>4.6</t>
  </si>
  <si>
    <t>12.005.0010-0</t>
  </si>
  <si>
    <t>11.003.0050-0</t>
  </si>
  <si>
    <t>PREENCHIMENTO COM CONCRETO DE 15MPA EM VAZIOS DE ALVENARIA DE BLOCOS DE CONCRETO 10X20X40CM,EM PAREDES DE 10CM,MEDIDO PE LA AREA REAL,EXCLUSIVE ARMACAO E A ALVENARIA (OBS.:3%-DESGASTE DE FERRAMENTAS E EPI).</t>
  </si>
  <si>
    <t>11.003.0002-0</t>
  </si>
  <si>
    <t>01752</t>
  </si>
  <si>
    <t>11.002.0023-1 LANCAMENTO CONC.C/ARM.2,0M3/H,HORIZ/VERT</t>
  </si>
  <si>
    <t>01745</t>
  </si>
  <si>
    <t>11.002.0013-1 PREPARO CONCR. BETON. 320L; 2,0M3/H</t>
  </si>
  <si>
    <t>ALVENARIA DE BLOCOS DE CONCRETO 10X20X40CM,ASSENTES COM ARGAMASSA DE CIMENTO E AREIA,NO TRACO 1:8,EM PAREDES DE 0,10M DE ESPESSURA,DE SUPERFICIE CORRIDA,ATE 3,00M DE ALTURA E MEDIDAPELA AREA REAL (ABRIGO PARA TORNEIRA DE JARDIM)</t>
  </si>
  <si>
    <t>CONCRETO DOSADO RACIONALMENTE PARA UMA RESISTENCIA CARACTERISTICA A COMPRESSAO DE 15MPA,INCLUSIVE MATERIAIS,TRANSPORTE,P REPARO COM BETONEIRA,LANCAMENTO E ADENSAMENTO  (ABRIGO PARA TORNEIRA DE JARDIM)</t>
  </si>
  <si>
    <t>3.11</t>
  </si>
  <si>
    <t>06.014.0066-0</t>
  </si>
  <si>
    <t>CAIXA DE PASSAGEM EM ALVENARIA DE TIJOLO MACICO(7X10X20CM),EM PAREDES DE UMA VEZ(0,20M),DE 0,60X0,60X1,00M,UTILIZANDO AR GAMASSA DE CIMENTO E AREIA,NO TRACO 1:4 EM VOLUME,COM FUNDOEM CONCRETO SIMPLES PROVIDO DE CALHA INTERNA,SENDO AS PAREDE S REVESTIDAS INTERNAMENTE COM A MESMA ARGAMASSA,INCLUSIVE TAMPA DE CONCRETO ARMADO,15MPA,COM ESPESSURA DE 10CM</t>
  </si>
  <si>
    <t>03087</t>
  </si>
  <si>
    <t>13.001.0030-1 EMBOCO ARG. CIM. E AREIA TRACO 1:4</t>
  </si>
  <si>
    <t>12.005.0135-1</t>
  </si>
  <si>
    <t>ALVENARIA PARA CAIXAS ENTERRADAS,ATE 1,60M DE PROFUNDIDADE,COM BLOCOS DE CONCRETO DE 20X20X40CM,COM ARGAMASSA DE CIMENTO E AREIA,NO TRACO 1:4 E CONCRETO 20MPA,PARA PREENCHIMENTO DOSFUROS DOS MESMOS,EM PAREDES DE UMA VEZ(0,20M) (OBS.:3%-DESGASTE DE FERRAMENTAS E EPI).</t>
  </si>
  <si>
    <t>00104</t>
  </si>
  <si>
    <t>BLOCO DE CONCRETO PRENSADO, PARA ALVENARIA, DE (20X20X40)CM</t>
  </si>
  <si>
    <t>01637</t>
  </si>
  <si>
    <t>11.001.0006-1 CONCRETO FCK 20MPA</t>
  </si>
  <si>
    <t>12.005.0135-1 ALVENARIA P/ CX.ENTERRADA 0,80M A 1,60M</t>
  </si>
  <si>
    <t>CAIXA DE PASSAGEM EM ALVENARIA DE  BLOCOS DE CONCRETO DE 20X20X40CM,COM ARGAMASSA DE CIMENTO E AREIA,NO TRACO 1:4 E CONCRETO 20MPA,PARA PREENCHIMENTO DOSFUROS DOS MESMOS,EM PAREDES DE UMA VEZ(0,20M) ,DE 0,60X0,60X1,00M,UTILIZANDO AR GAMASSA DE CIMENTO E AREIA,NO TRACO 1:4 EM VOLUME,COM FUNDOEM CONCRETO SIMPLES PROVIDO DE CALHA INTERNA,SENDO AS PAREDE S REVESTIDAS INTERNAMENTE COM A MESMA ARGAMASSA,INCLUSIVE TAMPA DE CONCRETO ARMADO,15MPA,COM ESPESSURA DE 10CM</t>
  </si>
  <si>
    <t>COTAÇÕES DE MERCADO ORÇAMENTO 003-19_ ENTORNO DO CENTRO ESPORTIVO DA COLONIA</t>
  </si>
  <si>
    <t xml:space="preserve">ORÇAMENTO Nº 003-2019 </t>
  </si>
  <si>
    <t>11.013.0075-0</t>
  </si>
  <si>
    <t>CONCRETO ARMADO,FCK=25MPA,INCLUINDO MATERIAIS PARA 1,00M3 DE CONCRETO(IMPORTADO DE USINA)ADENSADO E COLOCADO,14,00M2 DE AREA MOLDADA,FORMAS E ESCORAMENTO CONFORME ITENS 11.004.0022E 11.004.0035,60KG DE ACO CA-50,INCLUSIVE MAO-DE-OBRA PARA CORTE,DOBRAGEM,MONTAGEM E COLOCACAO NAS FORMAS (OBS.:3%-DESGASTE DE FERRAMENTAS E EPI).</t>
  </si>
  <si>
    <t>VOLUME CONFORME TABELA DNIT</t>
  </si>
  <si>
    <t>11.003.0005-1 - concreto dosado racionalmente para uma resistencia caracteristica a compressao de 25mpa,inclusive materiais,transporte,p reparo com betoneira,lancamento e adensamento</t>
  </si>
  <si>
    <t>05845</t>
  </si>
  <si>
    <t>ACO CA-50, ESTIRADO, PRECO DE REVENDEDOR, NO DIAMETRO DE 08,0MM</t>
  </si>
  <si>
    <t>05844</t>
  </si>
  <si>
    <t>ACO CA-50, ESTIRADO, PRECO DE REVENDEDOR, NO DIAMETRO DE 06,3MM</t>
  </si>
  <si>
    <t>00021</t>
  </si>
  <si>
    <t>ACO CA-50, ESTIRADO, PRECO DE REVENDEDOR, NO DIAMETRO, DE 25,0MM</t>
  </si>
  <si>
    <t>00019</t>
  </si>
  <si>
    <t>ACO CA-50, ESTIRADO, PRECO DE REVENDEDOR, NO DIAMETRO DE 16,0MM</t>
  </si>
  <si>
    <t>00018</t>
  </si>
  <si>
    <t>ACO CA-50, ESTIRADO, PRECO DE REVENDEDOR, NO DIAMETRO DE 12,5MM</t>
  </si>
  <si>
    <t>00017</t>
  </si>
  <si>
    <t>ACO CA-50, ESTIRADO, PRECO DE REVENDEDOR, NO DIAMETRO DE 10,0MM</t>
  </si>
  <si>
    <t>01998</t>
  </si>
  <si>
    <t>MAO-DE-OBRA DE ARMADOR DE CONCRETO ARMADO, INCLUSIVE ENCARGOS SOCIAIS</t>
  </si>
  <si>
    <t>03000</t>
  </si>
  <si>
    <t>54.001.0100-1 FORMAS MADEIRA P/MOLDAGEM, INCL. ESCOR.</t>
  </si>
  <si>
    <t>CONFORME TABELA DNIT</t>
  </si>
  <si>
    <t>01158</t>
  </si>
  <si>
    <t>19.007.0013-4 VIBRADOR IMERSAO ELETR. 2CV (CI)</t>
  </si>
  <si>
    <t>01157</t>
  </si>
  <si>
    <t>19.007.0013-2 VIBRADOR IMERSAO ELETR. 2CV (CP)</t>
  </si>
  <si>
    <t>11.003.0005-1</t>
  </si>
  <si>
    <t>CONCRETO DOSADO RACIONALMENTE PARA UMA RESISTENCIA CARACTERISTICA A COMPRESSAO DE 25MPA,INCLUSIVE MATERIAIS,TRANSPORTE,P REPARO COM BETONEIRA,LANCAMENTO E ADENSAMENTO (OBS.:5%-PERDAS).</t>
  </si>
  <si>
    <t>14543</t>
  </si>
  <si>
    <t>PEDRA BRITADA 1 E 2 (MEDIA), PARA REGIAOMETROPOLITANA DO RIO DE JANEIRO</t>
  </si>
  <si>
    <t>00149</t>
  </si>
  <si>
    <t>00001</t>
  </si>
  <si>
    <t>AREIA LAVADA, GROSSA, PARA REGIAO METROPOLITANA DO RIO DE JANEIRO</t>
  </si>
  <si>
    <t>3.12</t>
  </si>
  <si>
    <t>Construção de ala em concreto armado dosado racionalmente para uma resistencia caracteristica a compressao de 25mpa,inclusive materiais,transporte,preparo com betoneira,lancamento e adensamento,14,00m2 de area moldada,formas e escoramento conforme itens 11.004.0022e 11.004.0035,60kg de aco ca-50,inclusive mao-de-obra para corte,dobragem,montagem e colocacao nas formas.</t>
  </si>
  <si>
    <t>2.4</t>
  </si>
  <si>
    <t>13.001.0065-1</t>
  </si>
  <si>
    <t>REVESTIMENTO EXTERNO,EMBOCO,DE UMA VEZ,COM ARGAMASSA DE CIMENTO,CAL HIDRATADA ADITIVADA E AREIA,NO TRACO 1:1:12,COM ESPE SSURA DE 2,5CM,INCLUSIVE CHAPISCO DE CIMENTO E AREIA,NO TRACO 1:3 (OBS.:3%-DESGASTE DE FERRAMENTAS E EPI).</t>
  </si>
  <si>
    <t>15235</t>
  </si>
  <si>
    <t>07.005.0035-1 ARGAMASSA CIM.,CAL HIDR.AREIA-EMBOC.EXT.PREPARO MECANICO</t>
  </si>
  <si>
    <t>03084</t>
  </si>
  <si>
    <t>13.001.0010-1 CHAPISCO SUPERF. CONCR./ALVEN.,COM ARGAMASSA DE CIMENTO E AREIA NO TRACO 1:3</t>
  </si>
  <si>
    <t>REVESTIMENTO EXTERNO,EMBOCO,DE UMA VEZ,COM ARGAMASSA DE CIMENTO,CAL HIDRATADA ADITIVADA E AREIA,NO TRACO 1:1:12,COM ESPE SSURA DE 2,5CM,INCLUSIVE CHAPISCO DE CIMENTO E AREIA,NO TRACO 1:3.</t>
  </si>
  <si>
    <t>PONTALETE DE MADEIRA NAO APARELHADA *7,5 X 7,5* CM (3 X 3 ") PINUS, MISTA OU EQUIVALENTE DA REGIAO</t>
  </si>
  <si>
    <t>TRATOR DE ESTEIRAS, POTÊNCIA 150 HP, PESO OPERACIONAL 16,7 T, COM RODA MOTRIZ ELEVADA E LÂMINA 3,18 M3 - CHP DIURNO. AF_06/2014</t>
  </si>
  <si>
    <t>PLACA VIBRATÓRIA REVERSÍVEL COM MOTOR 4 TEMPOS A GASOLINA, FORÇA CENTRÍFUGA DE 25 KN (2500 KGF), POTÊNCIA 5,5 CV - CHP DIURNO. AF_08/2015</t>
  </si>
  <si>
    <t>So74209/001</t>
  </si>
  <si>
    <t>So05075</t>
  </si>
  <si>
    <t>So04813</t>
  </si>
  <si>
    <t>So04491</t>
  </si>
  <si>
    <t>So04417</t>
  </si>
  <si>
    <t>So000088262</t>
  </si>
  <si>
    <t>So000094962</t>
  </si>
  <si>
    <t>SO74005/001</t>
  </si>
  <si>
    <t>So000097622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</si>
  <si>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</si>
  <si>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</si>
  <si>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ARGAMASSA TRAÇO 1:3 (CIMENTO E AREIA MÉDIA), PREPARO MANUAL. AF_08/2014</t>
  </si>
  <si>
    <t>ESCAVADEIRA HIDRÁULICA SOBRE ESTEIRAS, CAÇAMBA 0,80 M3, PESO OPERACIONAL 17 T, POTENCIA BRUTA 111 HP - CHI DIURNO. AF_06/2014</t>
  </si>
  <si>
    <t>ESCAVADEIRA HIDRÁULICA SOBRE ESTEIRAS, CAÇAMBA 0,80 M3, PESO OPERACIONAL 17 T, POTENCIA BRUTA 111 HP - CHP DIURNO. AF_06/2014</t>
  </si>
  <si>
    <t>CIMENTO PORTLAND CP II 32, EM SACO DE 50KG</t>
  </si>
  <si>
    <t>So000083446</t>
  </si>
  <si>
    <t>So07258</t>
  </si>
  <si>
    <t>So04722</t>
  </si>
  <si>
    <t>So01358</t>
  </si>
  <si>
    <t>So01106</t>
  </si>
  <si>
    <t>So00039</t>
  </si>
  <si>
    <t>So74157/004</t>
  </si>
  <si>
    <t>So000090586</t>
  </si>
  <si>
    <t>So000091934</t>
  </si>
  <si>
    <t>So000092983</t>
  </si>
  <si>
    <t>PÁ CARREGADEIRA SOBRE RODAS, POTÊNCIA LÍQUIDA 128 HP, CAPACIDADE DA CAÇAMBA 1,7 A 2,8 M3, PESO OPERACIONAL 11632 KG - CHP DIURNO. AF_06/2014</t>
  </si>
  <si>
    <t>CAMINHÃO BASCULANTE 6 M3, PESO BRUTO TOTAL 16.000 KG, CARGA ÚTIL MÁXIMA 13.071 KG, DISTÂNCIA ENTRE EIXOS 4,80 M, POTÊNCIA 230 CV INCLUSIVE CAÇAMBA METÁLICA - CHP DIURNO. AF_06/2014</t>
  </si>
  <si>
    <t>CAMINHÃO BASCULANTE 10 M3, TRUCADO CABINE SIMPLES, PESO BRUTO TOTAL 23.000 KG, CARGA ÚTIL MÁXIMA 15.935 KG, DISTÂNCIA ENTRE EIXOS 4,80 M, POTÊNCIA 230 CV INCLUSIVE CAÇAMBA METÁLICA - CHI DIURNO. AF_06/2014</t>
  </si>
  <si>
    <t>CAMINHÃO BASCULANTE 10 M3, TRUCADO CABINE SIMPLES, PESO BRUTO TOTAL 23.000 KG, CARGA ÚTIL MÁXIMA 15.935 KG, DISTÂNCIA ENTRE EIXOS 4,80 M, POTÊNCIA 230 CV INCLUSIVE CAÇAMBA METÁLICA - CHP DIURNO. AF_06/2014</t>
  </si>
  <si>
    <t>CONCRETO MAGRO PARA LASTRO, TRAÇO 1:4,5:4,5 (CIMENTO/ AREIA MÉDIA/ BRITA 1)  - PREPARO MECÂNICO COM BETONEIRA 400 L. AF_07/2016</t>
  </si>
  <si>
    <t>So36170</t>
  </si>
  <si>
    <t>BLOQUETE/PISO INTERTRAVADO DE CONCRETO - MODELO ONDA/16 FACES/RETANGULAR/TIJOLINHO/PAVER/HOLANDES/PARALELEPIPEDO, *22 CM X 11* CM, E = 8 CM, RESISTENCIA DE 35 MPA (NBR 9781), COR NATURAL</t>
  </si>
  <si>
    <t>So000091285 CORTADORA DE PISO COM MOTOR 4 TEMPOS A GASOLINA, POTÊNCIA DE 13 HP, COM DISCO DE CORTE DIAMANTADO SEGMENTADO PARA CONCRETO, DIÂMETRO DE 350 MM, FURO DE 1" (14 X 1") - CHI DIURNO. AF_08/2015</t>
  </si>
  <si>
    <t>So000091283 CORTADORA DE PISO COM MOTOR 4 TEMPOS A GASOLINA, POTÊNCIA DE 13 HP, COM DISCO DE CORTE DIAMANTADO SEGMENTADO PARA CONCRETO, DIÂMETRO DE 350 MM, FURO DE 1" (14 X 1") - CHP DIURNO. AF_08/2015</t>
  </si>
  <si>
    <t>So000091278 PLACA VIBRATÓRIA REVERSÍVEL COM MOTOR 4 TEMPOS A GASOLINA, FORÇA CENTRÍFUGA DE 25 KN (2500 KGF), POTÊNCIA 5,5 CV - CHI DIURNO. AF_08/2015</t>
  </si>
  <si>
    <t>So000091277 PLACA VIBRATÓRIA REVERSÍVEL COM MOTOR 4 TEMPOS A GASOLINA, FORÇA CENTRÍFUGA DE 25 KN (2500 KGF), POTÊNCIA 5,5 CV - CHP DIURNO. AF_08/2015</t>
  </si>
  <si>
    <t>BETONEIRA CAPACIDADE NOMINAL DE 400 L, CAPACIDADE DE MISTURA 280 L, MOTOR ELÉTRICO TRIFÁSICO POTÊNCIA DE 2 CV, SEM CARREGADOR - CHI DIURNO. AF_10/2014</t>
  </si>
  <si>
    <t>BETONEIRA CAPACIDADE NOMINAL DE 400 L, CAPACIDADE DE MISTURA 280 L, MOTOR ELÉTRICO TRIFÁSICO POTÊNCIA DE 2 CV, SEM CARREGADOR - CHP DIURNO. AF_10/2014</t>
  </si>
  <si>
    <t>VIBRADOR DE IMERSÃO, DIÂMETRO DE PONTEIRA 45MM, MOTOR ELÉTRICO TRIFÁSICO POTÊNCIA DE 2 CV - CHP DIURNO. AF_06/2015</t>
  </si>
  <si>
    <t>Ø600mm</t>
  </si>
  <si>
    <t>Data-Base:   EMOP -  RJ / SINAPI e SCO-RJ- Onerado - Base Junho-19</t>
  </si>
  <si>
    <t>74209/001</t>
  </si>
  <si>
    <t>composição 2.1</t>
  </si>
  <si>
    <t>2.5</t>
  </si>
  <si>
    <t>So000094287</t>
  </si>
  <si>
    <t>EXECUÇÃO DE SARJETA DE CONCRETO USINADO, MOLDADA  IN LOCO  EM TRECHO RETO, 30 CM BASE X 10 CM ALTURA. AF_06/2016</t>
  </si>
  <si>
    <t>So34492</t>
  </si>
  <si>
    <t>CONCRETO USINADO BOMBEAVEL, CLASSE DE RESISTENCIA C20, COM BRITA 0 E 1, SLUMP = 100 +/- 20 MM, EXCLUI SERVICO DE BOMBEAMENTO (NBR 8953)</t>
  </si>
  <si>
    <t>So06189</t>
  </si>
  <si>
    <t>TABUA DE MADEIRA NAO APARELHADA *2,5 X 30* CM, CEDRINHO OU EQUIVALENTE DA REGIAO</t>
  </si>
  <si>
    <t>So04517</t>
  </si>
  <si>
    <t>SARRAFO DE MADEIRA NAO APARELHADA *2,5 X 7,5* CM (1 X 3 ") PINUS, MISTA OU EQUIVALENTE DA REGIAO</t>
  </si>
  <si>
    <t>TUBO DE PVC PARA ESGOTO, REFORCADO, PONTA E BOLSA, INCLUSIVE ANEL DE BORRACHA, ABNT-NBR 7362, DE 200MM</t>
  </si>
  <si>
    <t>composição 3.9</t>
  </si>
  <si>
    <t>00506</t>
  </si>
  <si>
    <t>RALO DE FERRO FUNDIDO, P/SARJETA, C/CAIXA (30X90)CM, C/CAIXILHO E GRELHA, TIPO PESADO, PESO TOTAL 135KG</t>
  </si>
  <si>
    <t>03354</t>
  </si>
  <si>
    <t>12.005.0135-1 ALVENARIA CXS.ENTERRADAS 1,60M, BL.CONCR</t>
  </si>
  <si>
    <t>composição 3.11</t>
  </si>
  <si>
    <t>composição 3.12</t>
  </si>
  <si>
    <t>3.13</t>
  </si>
  <si>
    <t>So000090694</t>
  </si>
  <si>
    <t>TUBO DE PVC PARA REDE COLETORA DE ESGOTO DE PAREDE MACIÇA, DN 100 MM, JUNTA ELÁSTICA, INSTALADO EM LOCAL COM NÍVEL BAIXO DE INTERFERÊNCIAS - FORNECIMENTO E ASSENTAMENTO. AF_06/2015</t>
  </si>
  <si>
    <t>So36365</t>
  </si>
  <si>
    <t>TUBO COLETOR DE ESGOTO PVC, JEI, DN 100 MM (NBR  7362)</t>
  </si>
  <si>
    <t>compoisção 5.2</t>
  </si>
  <si>
    <t>composição 5.4</t>
  </si>
  <si>
    <t>So000085180</t>
  </si>
  <si>
    <t>PLANTIO DE GRAMA ESMERALDA EM ROLO</t>
  </si>
  <si>
    <t>So38125</t>
  </si>
  <si>
    <t>FERTILIZANTE ORGANICO COMPOSTO, CLASSE A</t>
  </si>
  <si>
    <t>So25963</t>
  </si>
  <si>
    <t>CALCARIO DOLOMITICO A (POSTO PEDREIRA/FORNECEDOR, SEM FRETE)</t>
  </si>
  <si>
    <t>So25951</t>
  </si>
  <si>
    <t>FERTILIZANTE NPK - 10:10:10</t>
  </si>
  <si>
    <t>So03322</t>
  </si>
  <si>
    <t>GRAMA ESMERALDA OU SAO CARLOS OU CURITIBANA, EM PLACAS, SEM PLANTIO</t>
  </si>
  <si>
    <t>So000088441</t>
  </si>
  <si>
    <t>JARDINEIRO COM ENCARGOS COMPLEMENTARES</t>
  </si>
  <si>
    <t>t</t>
  </si>
  <si>
    <t>Data-Base:   EMOP -  RJ / SINAPI e SCO-RJ- Onerado - Base  jun-19</t>
  </si>
  <si>
    <t>composição 2.4</t>
  </si>
  <si>
    <t>74209/1</t>
  </si>
  <si>
    <t>73859/1</t>
  </si>
  <si>
    <t>74005/1</t>
  </si>
  <si>
    <t>02.004.0001-0/A</t>
  </si>
  <si>
    <t>02.015.0001-0/A</t>
  </si>
  <si>
    <t>41598</t>
  </si>
  <si>
    <t>97622</t>
  </si>
  <si>
    <t>90106</t>
  </si>
  <si>
    <t>93382</t>
  </si>
  <si>
    <t>90695</t>
  </si>
  <si>
    <t>90696</t>
  </si>
  <si>
    <t>90697</t>
  </si>
  <si>
    <t>92210</t>
  </si>
  <si>
    <t>92211</t>
  </si>
  <si>
    <t>92212</t>
  </si>
  <si>
    <t>89356</t>
  </si>
  <si>
    <t>87448</t>
  </si>
  <si>
    <t>21.003.0057-0/A</t>
  </si>
  <si>
    <t>83446</t>
  </si>
  <si>
    <t>93358</t>
  </si>
  <si>
    <t>94964</t>
  </si>
  <si>
    <t>83463</t>
  </si>
  <si>
    <t>96985</t>
  </si>
  <si>
    <t>93655</t>
  </si>
  <si>
    <t>93661</t>
  </si>
  <si>
    <t>93672</t>
  </si>
  <si>
    <t>83399</t>
  </si>
  <si>
    <t>91928</t>
  </si>
  <si>
    <t>91930</t>
  </si>
  <si>
    <t>91932</t>
  </si>
  <si>
    <t>91934</t>
  </si>
  <si>
    <t>92983</t>
  </si>
  <si>
    <t>92985</t>
  </si>
  <si>
    <t>92992</t>
  </si>
  <si>
    <t>composição 5.2</t>
  </si>
  <si>
    <t xml:space="preserve"> composição 5.4</t>
  </si>
  <si>
    <t>composição 5.30</t>
  </si>
  <si>
    <t>composição 5.31</t>
  </si>
  <si>
    <t>composição 5.32</t>
  </si>
  <si>
    <t>74084/1</t>
  </si>
  <si>
    <t>88483</t>
  </si>
  <si>
    <t>88489</t>
  </si>
  <si>
    <t>74145/1</t>
  </si>
  <si>
    <t>72898</t>
  </si>
  <si>
    <t>95875</t>
  </si>
  <si>
    <t>Data-Base:   EMOP -  RJ / SINAPI e SCO-RJ- Onerado - Base jun-19</t>
  </si>
  <si>
    <t>composição 5.33</t>
  </si>
  <si>
    <t>alterado somente o texto</t>
  </si>
  <si>
    <t>DATA:  20/03/2019 - REVISÃO 16-01-2020</t>
  </si>
  <si>
    <t>DATA:  20/03/2019 - revisão 16-01-2020</t>
  </si>
  <si>
    <t>CALÇADA EXTERNA</t>
  </si>
  <si>
    <t>9.4</t>
  </si>
  <si>
    <t>9.5</t>
  </si>
  <si>
    <t>9.6</t>
  </si>
  <si>
    <t>So00000097636</t>
  </si>
  <si>
    <t>DEMOLIÇÃO PARCIAL DE PAVIMENTO ASFÁLTICO, DE FORMA MECANIZADA, SEM REAPROVEITAMENTO. AF_12/2017</t>
  </si>
  <si>
    <t>So00000091285</t>
  </si>
  <si>
    <t>So00000091285 CORTADORA DE PISO COM MOTOR 4 TEMPOS A GASOLINA, POTÊNCIA DE 13 HP, COM DISCO DE CORTE DIAMANTADO SEGMENTADO PARA CONCRETO, DIÂMETRO DE 350 MM, FURO DE 1" (14 X 1") - CHI DIURNO. AF_08/2015</t>
  </si>
  <si>
    <t>So00000091283</t>
  </si>
  <si>
    <t>So00000091283 CORTADORA DE PISO COM MOTOR 4 TEMPOS A GASOLINA, POTÊNCIA DE 13 HP, COM DISCO DE CORTE DIAMANTADO SEGMENTADO PARA CONCRETO, DIÂMETRO DE 350 MM, FURO DE 1" (14 X 1") - CHP DIURNO. AF_08/2015</t>
  </si>
  <si>
    <t>So00000005632</t>
  </si>
  <si>
    <t>So00000005632 ESCAVADEIRA HIDRÁULICA SOBRE ESTEIRAS, CAÇAMBA 0,80 M3, PESO OPERACIONAL 17 T, POTENCIA BRUTA 111 HP - CHI DIURNO. AF_06/2014</t>
  </si>
  <si>
    <t>So00000005631</t>
  </si>
  <si>
    <t>So00000005631 ESCAVADEIRA HIDRÁULICA SOBRE ESTEIRAS, CAÇAMBA 0,80 M3, PESO OPERACIONAL 17 T, POTENCIA BRUTA 111 HP - CHP DIURNO. AF_06/2014</t>
  </si>
  <si>
    <t>So0007156</t>
  </si>
  <si>
    <t>TELA DE ACO SOLDADA NERVURADA, CA-60, Q-196, (3,11 KG/M2), DIAMETRO DO FIO = 5,0 MM, LARGURA =  2,45 M, ESPACAMENTO DA MALHA = 10 X 10 CM</t>
  </si>
  <si>
    <t>So00000088316</t>
  </si>
  <si>
    <t>So00000088309</t>
  </si>
  <si>
    <t>So00000094994</t>
  </si>
  <si>
    <t>EXECUÇÃO DE PASSEIO (CALÇADA) OU PISO DE CONCRETO COM CONCRETO MOLDADO IN LOCO, FEITO EM OBRA, ACABAMENTO CONVENCIONAL, ESPESSURA 8 CM, ARMADO. AF_07/2016</t>
  </si>
  <si>
    <t>So0004517</t>
  </si>
  <si>
    <t>So0004460</t>
  </si>
  <si>
    <t>SARRAFO DE MADEIRA NAO APARELHADA *2,5 X 10 CM, MACARANDUBA, ANGELIM OU EQUIVALENTE DA REGIAO</t>
  </si>
  <si>
    <t>So0003777</t>
  </si>
  <si>
    <t>LONA PLASTICA PRETA, E= 150 MICRA</t>
  </si>
  <si>
    <t>So00000088262</t>
  </si>
  <si>
    <t>So00000094964</t>
  </si>
  <si>
    <t>So00000094964 CONCRETO FCK = 20MPA, TRAÇO 1:2,7:3 (CIMENTO/ AREIA MÉDIA/ BRITA 1)  - PREPARO MECÂNICO COM BETONEIRA 400 L. AF_07/2016</t>
  </si>
  <si>
    <r>
      <t xml:space="preserve">EXECUÇÃO DE PASSEIO (CALÇADA) OU PISO DE CONCRETO COM CONCRETO MOLDADO IN LOCO, FEITO EM OBRA, ACABAMENTO CONVENCIONAL, </t>
    </r>
    <r>
      <rPr>
        <b/>
        <u val="single"/>
        <sz val="12"/>
        <rFont val="Arial"/>
        <family val="2"/>
      </rPr>
      <t>ESPESSURA 7 CM</t>
    </r>
    <r>
      <rPr>
        <sz val="12"/>
        <rFont val="Arial"/>
        <family val="2"/>
      </rPr>
      <t>, ARMADO. AF_07/2016</t>
    </r>
  </si>
  <si>
    <t>13.333.0010-0</t>
  </si>
  <si>
    <t>REVESTIMENTO DE PISO COM CERAMICA TATIL DIRECIONAL,(LADRILHO HIDRAULICO),PARA PESSOAS COM NECESSIDADES ESPECIFICAS,ASSEN TES SOBRE SUPERFICIE EM OSSO,CONFORME ITEM 13.330.0010 (OBS.:3%-DESGASTE DE FERRAMENTAS E EPI).</t>
  </si>
  <si>
    <t>11227</t>
  </si>
  <si>
    <t>PISO CERAMICO TATIL DIRECIONAL, AMARELO,PARA PORTADORES DE NECESSIDADES ESPECIFICAS</t>
  </si>
  <si>
    <t>05350</t>
  </si>
  <si>
    <t>OXIDO DE FERRO</t>
  </si>
  <si>
    <t>00150</t>
  </si>
  <si>
    <t>CIMENTO BRANCO</t>
  </si>
  <si>
    <t>01978</t>
  </si>
  <si>
    <t>MAO-DE-OBRA DE LADRILHEIRO, INCLUSIVE ENCARGOS SOCIAIS</t>
  </si>
  <si>
    <t>03429</t>
  </si>
  <si>
    <t>07.001.0130-1 ARGAMASSA CIM.,SAIBRO,AREIA 1:3:3,PREPARO MANUAL</t>
  </si>
  <si>
    <t>03077</t>
  </si>
  <si>
    <t>07.001.0010-1 PASTA DE CIMENTO COMUM</t>
  </si>
  <si>
    <t>13.333.0015-0</t>
  </si>
  <si>
    <t>REVESTIMENTO DE PISO COM CERAMICA TATIL ALERTA,(LADRILHO HIDRAULICO) PARA PESSOAS COM NECESSIDADES ESPECIFICAS,ASSENTES SOBRE SUPERFICIE EM OSSO,CONFORME ITEM 13.330.0010 (OBS.:3%-DESGASTE DE FERRAMENTAS E EPI).</t>
  </si>
  <si>
    <t>11228</t>
  </si>
  <si>
    <t>PISO CERAMICO TATIL ALERTA, AMARELO, PARA PORTADORES DE NECESSIDADES ESPECIFICAS</t>
  </si>
  <si>
    <t>REVESTIMENTO DE PISO COM CERAMICA TATIL ALERTA,(LADRILHO HIDRAULICO) PARA PESSOAS COM NECESSIDADES ESPECIFICAS,ASSENTES SOBRE SUPERFICIE EM OSSO,CONFORME ITEM 13.330.0010 .</t>
  </si>
  <si>
    <t>REVESTIMENTO DE PISO COM CERAMICA TATIL DIRECIONAL,(LADRILHO HIDRAULICO),PARA PESSOAS COM NECESSIDADES ESPECIFICAS,ASSEN TES SOBRE SUPERFICIE EM OSSO,CONFORME ITEM 13.330.0010 .</t>
  </si>
  <si>
    <t>00520</t>
  </si>
  <si>
    <t>IMPERMEABILIZANTE DE PEGA NORMAL, EM LATAS DE 18KG</t>
  </si>
  <si>
    <t>13.301.0100-0</t>
  </si>
  <si>
    <t>PISO CIMENTADO IMPERMEAVEL,COM 3CM DE ESPESSURA EM DUAS CAMADAS DE 1,5CM,DE ARGAMASSA DE CIMENTO E AREIA,NO TRACO 1:3 E IMPERMEABILIZANTE DE PEGA NORMAL ADICIONADO A AGUA DA ARGAMASSA NA DOSAGEM DE 1:12,ALISADO A COLHER,SOBRE BASE,OU CONTRA PISO EXISTENTE (OBS.:3%-DESGASTE DE FERRAMENTAS E EPI).</t>
  </si>
  <si>
    <t>PISO CIMENTADO IMPERMEAVEL,COM 3CM DE ESPESSURA EM DUAS CAMADAS DE 1,5CM,DE ARGAMASSA DE CIMENTO E AREIA,NO TRACO 1:3 E IMPERMEABILIZANTE DE PEGA NORMAL ADICIONADO A AGUA DA ARGAMASSA NA DOSAGEM DE 1:12,ALISADO A COLHER,SOBRE BASE,OU CONTRA PISO EXISTENTE.</t>
  </si>
  <si>
    <t>10.0</t>
  </si>
  <si>
    <t>10.1</t>
  </si>
  <si>
    <t>10.2</t>
  </si>
  <si>
    <t>10.3</t>
  </si>
  <si>
    <t>TOTAL 10.0=</t>
  </si>
  <si>
    <t>EXECUÇÃO DE PASSEIO (CALÇADA) OU PISO DE CONCRETO COM CONCRETO MOLDADO IN LOCO, FEITO EM OBRA, ACABAMENTO CONVENCIONAL, ESPESSURA 7 CM, ARMADO. AF_07/2016</t>
  </si>
  <si>
    <t xml:space="preserve"> composição 10.3</t>
  </si>
  <si>
    <t>composição 10.3</t>
  </si>
  <si>
    <t>COMPOSIÇÃO 9.3</t>
  </si>
  <si>
    <t>So00000087448</t>
  </si>
  <si>
    <t>ALVENARIA DE VEDAÇÃO DE BLOCOS VAZADOS DE CONCRETO DE 9X19X39CM (ESPESSURA 9CM) DE PAREDES COM ÁREA LÍQUIDA MENOR QUE 6M² SEM VÃOS E ARGAMASSA DE ASSENTAMENTO COM PREPARO MANUAL. AF_06/2014</t>
  </si>
  <si>
    <t>So0034557</t>
  </si>
  <si>
    <t>TELA DE ACO SOLDADA GALVANIZADA/ZINCADA PARA ALVENARIA, FIO D = *1,20 A 1,70* MM, MALHA 15 X 15 MM, (C X L) *50 X 7,5* CM</t>
  </si>
  <si>
    <t>So0037395</t>
  </si>
  <si>
    <t>PINO DE ACO COM FURO, HASTE = 27 MM (ACAO DIRETA)</t>
  </si>
  <si>
    <t>CENTO</t>
  </si>
  <si>
    <t>So0000650</t>
  </si>
  <si>
    <t>BLOCO VEDACAO CONCRETO 9 X 19 X 39 CM (CLASSE C - NBR 6136)</t>
  </si>
  <si>
    <t>So00000087369</t>
  </si>
  <si>
    <t>So00000087369 ARGAMASSA TRAÇO 1:2:8 (CIMENTO, CAL E AREIA MÉDIA) PARA EMBOÇO/MASSA ÚNICA/ASSENTAMENTO DE ALVENARIA DE VEDAÇÃO, PREPARO MANUAL. AF_06/2014</t>
  </si>
  <si>
    <t>PLANILHA ORÇAMENTÁRIA  - BDI 23,38% EXCETO ITEM 10.3 COM BDI DE 16,96%</t>
  </si>
  <si>
    <t>So00000095606</t>
  </si>
  <si>
    <t>So00000095606 UMIDIFICAÇÃO DE MATERIAL PARA VALAS COM CAMINHÃO PIPA 10000L. AF_11/2016</t>
  </si>
  <si>
    <t>So00000091534</t>
  </si>
  <si>
    <t>So00000091534 COMPACTADOR DE SOLOS DE PERCUSSÃO (SOQUETE) COM MOTOR A GASOLINA 4 TEMPOS, POTÊNCIA 4 CV - CHI DIURNO. AF_08/2015</t>
  </si>
  <si>
    <t>So00000091533</t>
  </si>
  <si>
    <t>So00000091533 COMPACTADOR DE SOLOS DE PERCUSSÃO (SOQUETE) COM MOTOR A GASOLINA 4 TEMPOS, POTÊNCIA 4 CV - CHP DIURNO. AF_08/2015</t>
  </si>
  <si>
    <t>So00000005679</t>
  </si>
  <si>
    <t>So00000005679 RETROESCAVADEIRA SOBRE RODAS COM CARREGADEIRA, TRAÇÃO 4X4, POTÊNCIA LÍQ. 88 HP, CAÇAMBA CARREG. CAP. MÍN. 1 M3, CAÇAMBA RETRO CAP. 0,26 M3, PESO OPERACIONAL MÍN. 6.674 KG, PROFUNDIDADE ESCAVAÇÃO MÁX. 4,37 M - CHI DIURNO. AF_06/2014</t>
  </si>
  <si>
    <t>So00000005678</t>
  </si>
  <si>
    <t>So00000005678 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</si>
  <si>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REATERRO MECANIZADO DE VALA COM RETROESCAVADEIRA (CAPACIDADE DA CAÇAMBA DA RETRO: 0,26 M³ / POTÊNCIA: 88 HP), LARGURA DE 0,8 A 1,5 M, PROFUNDIDADE ATÉ 1,5 M, COM SOLO DE 1ª CATEGORIA EM LOCAIS COM BAIXO NÍVEL DE INTERFERÊNCIA. AF_04/2016</t>
  </si>
  <si>
    <t>So00000093379</t>
  </si>
  <si>
    <t>REATERRO MECANIZADO DE VALA COM RETROESCAVADEIRA (CAPACIDADE DA CAÇAMBA DA RETRO: 0,26 M³ / POTÊNCIA: 88 HP), LARGURA DE 0,8 A 1,5 M, PROFUNDIDADE ATÉ 1,5 M, COM SOLO DE 1ª CATEGORIA EM LOCAIS COM BAIXO NÍVEL DE INTERFERÊNCIA. AF_04/2016</t>
  </si>
  <si>
    <r>
      <rPr>
        <b/>
        <sz val="16"/>
        <rFont val="Arial"/>
        <family val="2"/>
      </rPr>
      <t>OBSERVAÇÕES</t>
    </r>
    <r>
      <rPr>
        <sz val="16"/>
        <rFont val="Arial"/>
        <family val="2"/>
      </rPr>
      <t xml:space="preserve">: Para adequar os preços deste orçamento com o aprovado pela CEF através do SICONV foram feitas as seguintes alterações:  </t>
    </r>
    <r>
      <rPr>
        <b/>
        <sz val="16"/>
        <rFont val="Arial"/>
        <family val="2"/>
      </rPr>
      <t>1-</t>
    </r>
    <r>
      <rPr>
        <sz val="16"/>
        <rFont val="Arial"/>
        <family val="2"/>
      </rPr>
      <t xml:space="preserve"> nos itens 2.5, 5.8 e 8.1 foi utilizado o comando </t>
    </r>
    <r>
      <rPr>
        <b/>
        <sz val="16"/>
        <rFont val="Arial"/>
        <family val="2"/>
      </rPr>
      <t>(ARREDONDAR.PARA.CIMA)</t>
    </r>
    <r>
      <rPr>
        <sz val="16"/>
        <rFont val="Arial"/>
        <family val="2"/>
      </rPr>
      <t xml:space="preserve"> na coluna de preço total;  </t>
    </r>
    <r>
      <rPr>
        <b/>
        <sz val="16"/>
        <rFont val="Arial"/>
        <family val="2"/>
      </rPr>
      <t>2-</t>
    </r>
    <r>
      <rPr>
        <sz val="16"/>
        <rFont val="Arial"/>
        <family val="2"/>
      </rPr>
      <t xml:space="preserve"> Nos itens 10.1, 10.2 e 10.3 foi utilizado o comando</t>
    </r>
    <r>
      <rPr>
        <b/>
        <sz val="16"/>
        <rFont val="Arial"/>
        <family val="2"/>
      </rPr>
      <t xml:space="preserve"> (ARREDONDAR.PARA.CIMA</t>
    </r>
    <r>
      <rPr>
        <sz val="16"/>
        <rFont val="Arial"/>
        <family val="2"/>
      </rPr>
      <t>) nas colunas unit.com bdi, total e total com BDI.</t>
    </r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</si>
</sst>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0.000"/>
    <numFmt numFmtId="171" formatCode="0.0000"/>
    <numFmt numFmtId="172" formatCode="0.00000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00"/>
    <numFmt numFmtId="178" formatCode="#,##0.0000"/>
    <numFmt numFmtId="179" formatCode="#,##0.00000"/>
    <numFmt numFmtId="180" formatCode="#,##0.000000"/>
    <numFmt numFmtId="181" formatCode="0.0000000"/>
    <numFmt numFmtId="182" formatCode="0.00000000"/>
    <numFmt numFmtId="183" formatCode="0.0"/>
    <numFmt numFmtId="184" formatCode="#,##0.00_ ;\-#,##0.00\ "/>
    <numFmt numFmtId="185" formatCode="#,##0.000_ ;\-#,##0.000\ "/>
    <numFmt numFmtId="186" formatCode="#,##0.0000_ ;\-#,##0.0000\ "/>
    <numFmt numFmtId="187" formatCode="_-&quot;R$&quot;\ * #,##0.000_-;\-&quot;R$&quot;\ * #,##0.000_-;_-&quot;R$&quot;\ * &quot;-&quot;??_-;_-@_-"/>
    <numFmt numFmtId="188" formatCode="_-&quot;R$&quot;\ * #,##0.0000_-;\-&quot;R$&quot;\ * #,##0.0000_-;_-&quot;R$&quot;\ * &quot;-&quot;??_-;_-@_-"/>
    <numFmt numFmtId="189" formatCode="_-&quot;R$&quot;\ * #,##0.00000_-;\-&quot;R$&quot;\ * #,##0.00000_-;_-&quot;R$&quot;\ * &quot;-&quot;??_-;_-@_-"/>
    <numFmt numFmtId="190" formatCode="&quot;R$&quot;\ #,##0.000;\-&quot;R$&quot;\ #,##0.000"/>
    <numFmt numFmtId="191" formatCode="&quot;R$&quot;\ #,##0.00"/>
    <numFmt numFmtId="192" formatCode="_([$€]* #,##0.00_);_([$€]* \(#,##0.00\);_([$€]* &quot;-&quot;??_);_(@_)"/>
    <numFmt numFmtId="193" formatCode="#,#00"/>
    <numFmt numFmtId="194" formatCode="General\ "/>
    <numFmt numFmtId="195" formatCode="&quot; R$ &quot;* #,##0.00\ ;&quot; R$ &quot;* \(#,##0.00\);&quot; R$ &quot;* \-#\ ;@\ "/>
    <numFmt numFmtId="196" formatCode="%#,#00"/>
    <numFmt numFmtId="197" formatCode="#.#####"/>
    <numFmt numFmtId="198" formatCode="_ * #,##0.00_ ;_ * \-#,##0.00_ ;_ * &quot;-&quot;??_ ;_ @_ "/>
    <numFmt numFmtId="199" formatCode="#,"/>
    <numFmt numFmtId="200" formatCode="_(* #,##0.00_);_(* \(#,##0.00\);_(* &quot;-&quot;??_);_(@_)"/>
    <numFmt numFmtId="201" formatCode="0.0%"/>
    <numFmt numFmtId="202" formatCode="0.0000000000"/>
    <numFmt numFmtId="203" formatCode="0.000%"/>
    <numFmt numFmtId="204" formatCode="0.0000%"/>
    <numFmt numFmtId="205" formatCode="#,##0.00000_ ;\-#,##0.00000\ "/>
    <numFmt numFmtId="206" formatCode="#,##0.00000_ ;[Red]\-#,##0.00000\ "/>
    <numFmt numFmtId="207" formatCode="_-&quot;R$&quot;* #,##0.00000_-;\-&quot;R$&quot;* #,##0.00000_-;_-&quot;R$&quot;* &quot;-&quot;?????_-;_-@_-"/>
    <numFmt numFmtId="208" formatCode="#,##0.0000_ ;[Red]\-#,##0.0000\ "/>
    <numFmt numFmtId="209" formatCode="0.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"/>
      <color indexed="8"/>
      <name val="Courier New"/>
      <family val="3"/>
    </font>
    <font>
      <sz val="10"/>
      <name val="Times New Roman"/>
      <family val="1"/>
    </font>
    <font>
      <sz val="12"/>
      <name val="Courier New"/>
      <family val="3"/>
    </font>
    <font>
      <sz val="10"/>
      <name val="Switzerland"/>
      <family val="0"/>
    </font>
    <font>
      <b/>
      <sz val="15"/>
      <color indexed="48"/>
      <name val="Calibri"/>
      <family val="2"/>
    </font>
    <font>
      <b/>
      <sz val="1"/>
      <color indexed="8"/>
      <name val="Courier New"/>
      <family val="3"/>
    </font>
    <font>
      <sz val="11"/>
      <name val="Calibri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11"/>
      <name val="Switzerland"/>
      <family val="0"/>
    </font>
    <font>
      <b/>
      <u val="single"/>
      <sz val="12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Arial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Arial"/>
      <family val="2"/>
    </font>
    <font>
      <b/>
      <sz val="11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Arial"/>
      <family val="2"/>
    </font>
    <font>
      <b/>
      <sz val="16"/>
      <color rgb="FFFF0000"/>
      <name val="Calibri"/>
      <family val="2"/>
    </font>
    <font>
      <b/>
      <sz val="16"/>
      <color rgb="FFFF0000"/>
      <name val="Arial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11" fillId="0" borderId="0">
      <alignment/>
      <protection locked="0"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11" fillId="0" borderId="0">
      <alignment/>
      <protection locked="0"/>
    </xf>
    <xf numFmtId="0" fontId="5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4" fontId="13" fillId="0" borderId="0">
      <alignment/>
      <protection/>
    </xf>
    <xf numFmtId="195" fontId="13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196" fontId="11" fillId="0" borderId="0">
      <alignment/>
      <protection locked="0"/>
    </xf>
    <xf numFmtId="197" fontId="11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193" fontId="2" fillId="0" borderId="0" applyFill="0" applyBorder="0" applyAlignment="0" applyProtection="0"/>
    <xf numFmtId="191" fontId="2" fillId="0" borderId="0">
      <alignment/>
      <protection/>
    </xf>
    <xf numFmtId="0" fontId="2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8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199" fontId="16" fillId="0" borderId="0">
      <alignment/>
      <protection locked="0"/>
    </xf>
    <xf numFmtId="199" fontId="16" fillId="0" borderId="0">
      <alignment/>
      <protection locked="0"/>
    </xf>
    <xf numFmtId="0" fontId="69" fillId="0" borderId="10" applyNumberFormat="0" applyFill="0" applyAlignment="0" applyProtection="0"/>
    <xf numFmtId="43" fontId="0" fillId="0" borderId="0" applyFont="0" applyFill="0" applyBorder="0" applyAlignment="0" applyProtection="0"/>
    <xf numFmtId="20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29">
    <xf numFmtId="0" fontId="0" fillId="0" borderId="0" xfId="0" applyFont="1" applyAlignment="1">
      <alignment/>
    </xf>
    <xf numFmtId="0" fontId="70" fillId="0" borderId="0" xfId="0" applyFont="1" applyAlignment="1">
      <alignment/>
    </xf>
    <xf numFmtId="49" fontId="71" fillId="33" borderId="11" xfId="87" applyNumberFormat="1" applyFont="1" applyFill="1" applyBorder="1" applyAlignment="1">
      <alignment horizontal="center"/>
      <protection/>
    </xf>
    <xf numFmtId="49" fontId="71" fillId="33" borderId="12" xfId="72" applyNumberFormat="1" applyFont="1" applyFill="1" applyBorder="1">
      <alignment/>
      <protection/>
    </xf>
    <xf numFmtId="4" fontId="71" fillId="33" borderId="12" xfId="72" applyNumberFormat="1" applyFont="1" applyFill="1" applyBorder="1" applyAlignment="1">
      <alignment horizontal="left" readingOrder="1"/>
      <protection/>
    </xf>
    <xf numFmtId="4" fontId="71" fillId="33" borderId="11" xfId="88" applyNumberFormat="1" applyFont="1" applyFill="1" applyBorder="1" applyAlignment="1">
      <alignment horizontal="left" vertical="center"/>
      <protection/>
    </xf>
    <xf numFmtId="4" fontId="71" fillId="33" borderId="12" xfId="0" applyNumberFormat="1" applyFont="1" applyFill="1" applyBorder="1" applyAlignment="1">
      <alignment horizontal="left"/>
    </xf>
    <xf numFmtId="4" fontId="71" fillId="33" borderId="12" xfId="87" applyNumberFormat="1" applyFont="1" applyFill="1" applyBorder="1" applyAlignment="1">
      <alignment horizontal="left"/>
      <protection/>
    </xf>
    <xf numFmtId="4" fontId="71" fillId="33" borderId="13" xfId="87" applyNumberFormat="1" applyFont="1" applyFill="1" applyBorder="1" applyAlignment="1">
      <alignment horizontal="left"/>
      <protection/>
    </xf>
    <xf numFmtId="0" fontId="3" fillId="0" borderId="0" xfId="0" applyFont="1" applyAlignment="1">
      <alignment/>
    </xf>
    <xf numFmtId="49" fontId="71" fillId="33" borderId="14" xfId="87" applyNumberFormat="1" applyFont="1" applyFill="1" applyBorder="1" applyAlignment="1">
      <alignment horizontal="center"/>
      <protection/>
    </xf>
    <xf numFmtId="49" fontId="71" fillId="33" borderId="0" xfId="72" applyNumberFormat="1" applyFont="1" applyFill="1" applyBorder="1">
      <alignment/>
      <protection/>
    </xf>
    <xf numFmtId="4" fontId="71" fillId="33" borderId="0" xfId="72" applyNumberFormat="1" applyFont="1" applyFill="1" applyBorder="1" applyAlignment="1">
      <alignment horizontal="left" readingOrder="1"/>
      <protection/>
    </xf>
    <xf numFmtId="4" fontId="71" fillId="33" borderId="14" xfId="88" applyNumberFormat="1" applyFont="1" applyFill="1" applyBorder="1" applyAlignment="1">
      <alignment horizontal="left" vertical="center"/>
      <protection/>
    </xf>
    <xf numFmtId="4" fontId="71" fillId="33" borderId="0" xfId="87" applyNumberFormat="1" applyFont="1" applyFill="1" applyBorder="1" applyAlignment="1">
      <alignment horizontal="left"/>
      <protection/>
    </xf>
    <xf numFmtId="4" fontId="71" fillId="33" borderId="0" xfId="72" applyNumberFormat="1" applyFont="1" applyFill="1" applyBorder="1" applyAlignment="1">
      <alignment horizontal="left"/>
      <protection/>
    </xf>
    <xf numFmtId="4" fontId="71" fillId="33" borderId="15" xfId="72" applyNumberFormat="1" applyFont="1" applyFill="1" applyBorder="1" applyAlignment="1">
      <alignment horizontal="left"/>
      <protection/>
    </xf>
    <xf numFmtId="4" fontId="3" fillId="33" borderId="0" xfId="72" applyNumberFormat="1" applyFont="1" applyFill="1" applyBorder="1" applyAlignment="1">
      <alignment vertical="center" wrapText="1" readingOrder="1"/>
      <protection/>
    </xf>
    <xf numFmtId="4" fontId="70" fillId="33" borderId="0" xfId="72" applyNumberFormat="1" applyFont="1" applyFill="1" applyBorder="1">
      <alignment/>
      <protection/>
    </xf>
    <xf numFmtId="49" fontId="71" fillId="33" borderId="16" xfId="87" applyNumberFormat="1" applyFont="1" applyFill="1" applyBorder="1" applyAlignment="1">
      <alignment horizontal="center"/>
      <protection/>
    </xf>
    <xf numFmtId="49" fontId="71" fillId="33" borderId="17" xfId="88" applyNumberFormat="1" applyFont="1" applyFill="1" applyBorder="1" applyAlignment="1">
      <alignment horizontal="center"/>
      <protection/>
    </xf>
    <xf numFmtId="4" fontId="70" fillId="33" borderId="17" xfId="88" applyNumberFormat="1" applyFont="1" applyFill="1" applyBorder="1" applyAlignment="1">
      <alignment/>
      <protection/>
    </xf>
    <xf numFmtId="0" fontId="4" fillId="0" borderId="18" xfId="0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justify" vertical="justify" wrapText="1"/>
    </xf>
    <xf numFmtId="0" fontId="3" fillId="34" borderId="19" xfId="0" applyFont="1" applyFill="1" applyBorder="1" applyAlignment="1">
      <alignment horizontal="center" vertical="center"/>
    </xf>
    <xf numFmtId="4" fontId="3" fillId="34" borderId="19" xfId="89" applyNumberFormat="1" applyFont="1" applyFill="1" applyBorder="1" applyAlignment="1">
      <alignment horizontal="center"/>
      <protection/>
    </xf>
    <xf numFmtId="0" fontId="3" fillId="34" borderId="18" xfId="0" applyFont="1" applyFill="1" applyBorder="1" applyAlignment="1">
      <alignment horizontal="justify" vertical="justify" wrapText="1"/>
    </xf>
    <xf numFmtId="0" fontId="3" fillId="34" borderId="18" xfId="0" applyFont="1" applyFill="1" applyBorder="1" applyAlignment="1">
      <alignment horizontal="center" vertical="center"/>
    </xf>
    <xf numFmtId="4" fontId="3" fillId="34" borderId="18" xfId="89" applyNumberFormat="1" applyFont="1" applyFill="1" applyBorder="1" applyAlignment="1">
      <alignment horizontal="center"/>
      <protection/>
    </xf>
    <xf numFmtId="44" fontId="3" fillId="34" borderId="18" xfId="62" applyFont="1" applyFill="1" applyBorder="1" applyAlignment="1">
      <alignment horizontal="right"/>
    </xf>
    <xf numFmtId="0" fontId="3" fillId="33" borderId="0" xfId="0" applyFont="1" applyFill="1" applyBorder="1" applyAlignment="1">
      <alignment horizontal="justify" vertical="justify" wrapText="1"/>
    </xf>
    <xf numFmtId="0" fontId="3" fillId="33" borderId="0" xfId="0" applyFont="1" applyFill="1" applyBorder="1" applyAlignment="1">
      <alignment horizontal="center" vertical="center"/>
    </xf>
    <xf numFmtId="4" fontId="3" fillId="33" borderId="0" xfId="89" applyNumberFormat="1" applyFont="1" applyFill="1" applyBorder="1" applyAlignment="1">
      <alignment horizontal="center"/>
      <protection/>
    </xf>
    <xf numFmtId="44" fontId="3" fillId="33" borderId="15" xfId="62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vertical="justify" wrapText="1"/>
    </xf>
    <xf numFmtId="0" fontId="3" fillId="33" borderId="12" xfId="0" applyFont="1" applyFill="1" applyBorder="1" applyAlignment="1">
      <alignment horizontal="center" vertical="center"/>
    </xf>
    <xf numFmtId="4" fontId="3" fillId="33" borderId="12" xfId="89" applyNumberFormat="1" applyFont="1" applyFill="1" applyBorder="1" applyAlignment="1">
      <alignment horizontal="center"/>
      <protection/>
    </xf>
    <xf numFmtId="44" fontId="3" fillId="33" borderId="13" xfId="62" applyFont="1" applyFill="1" applyBorder="1" applyAlignment="1">
      <alignment horizontal="right"/>
    </xf>
    <xf numFmtId="44" fontId="3" fillId="34" borderId="19" xfId="62" applyFont="1" applyFill="1" applyBorder="1" applyAlignment="1">
      <alignment horizontal="right"/>
    </xf>
    <xf numFmtId="49" fontId="3" fillId="33" borderId="18" xfId="0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justify" vertical="justify" wrapText="1"/>
    </xf>
    <xf numFmtId="0" fontId="3" fillId="33" borderId="18" xfId="0" applyFont="1" applyFill="1" applyBorder="1" applyAlignment="1">
      <alignment horizontal="center" vertical="center"/>
    </xf>
    <xf numFmtId="44" fontId="4" fillId="33" borderId="18" xfId="62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justify" vertical="justify" wrapText="1"/>
    </xf>
    <xf numFmtId="44" fontId="4" fillId="33" borderId="18" xfId="62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/>
    </xf>
    <xf numFmtId="44" fontId="4" fillId="33" borderId="20" xfId="62" applyFont="1" applyFill="1" applyBorder="1" applyAlignment="1">
      <alignment horizontal="center"/>
    </xf>
    <xf numFmtId="49" fontId="3" fillId="34" borderId="19" xfId="0" applyNumberFormat="1" applyFont="1" applyFill="1" applyBorder="1" applyAlignment="1">
      <alignment horizontal="center" vertical="center" wrapText="1"/>
    </xf>
    <xf numFmtId="184" fontId="3" fillId="34" borderId="19" xfId="62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84" fontId="3" fillId="33" borderId="12" xfId="62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justify" vertical="justify" wrapText="1"/>
    </xf>
    <xf numFmtId="0" fontId="4" fillId="33" borderId="0" xfId="0" applyFont="1" applyFill="1" applyBorder="1" applyAlignment="1">
      <alignment horizontal="center" vertical="center"/>
    </xf>
    <xf numFmtId="4" fontId="4" fillId="33" borderId="0" xfId="89" applyNumberFormat="1" applyFont="1" applyFill="1" applyBorder="1" applyAlignment="1">
      <alignment horizontal="center"/>
      <protection/>
    </xf>
    <xf numFmtId="44" fontId="4" fillId="33" borderId="15" xfId="62" applyFont="1" applyFill="1" applyBorder="1" applyAlignment="1">
      <alignment horizontal="right"/>
    </xf>
    <xf numFmtId="0" fontId="4" fillId="0" borderId="0" xfId="0" applyFont="1" applyAlignment="1">
      <alignment/>
    </xf>
    <xf numFmtId="49" fontId="3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84" fontId="3" fillId="33" borderId="0" xfId="62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184" fontId="3" fillId="34" borderId="18" xfId="62" applyNumberFormat="1" applyFont="1" applyFill="1" applyBorder="1" applyAlignment="1">
      <alignment horizontal="center" vertical="center" wrapText="1"/>
    </xf>
    <xf numFmtId="49" fontId="3" fillId="34" borderId="21" xfId="0" applyNumberFormat="1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justify" vertical="justify" wrapText="1"/>
    </xf>
    <xf numFmtId="0" fontId="3" fillId="34" borderId="21" xfId="0" applyFont="1" applyFill="1" applyBorder="1" applyAlignment="1">
      <alignment horizontal="center" vertical="center"/>
    </xf>
    <xf numFmtId="184" fontId="3" fillId="34" borderId="21" xfId="62" applyNumberFormat="1" applyFont="1" applyFill="1" applyBorder="1" applyAlignment="1">
      <alignment horizontal="center" vertical="center" wrapText="1"/>
    </xf>
    <xf numFmtId="4" fontId="3" fillId="34" borderId="21" xfId="89" applyNumberFormat="1" applyFont="1" applyFill="1" applyBorder="1" applyAlignment="1">
      <alignment horizontal="center"/>
      <protection/>
    </xf>
    <xf numFmtId="44" fontId="3" fillId="34" borderId="21" xfId="62" applyFont="1" applyFill="1" applyBorder="1" applyAlignment="1">
      <alignment horizontal="right"/>
    </xf>
    <xf numFmtId="184" fontId="3" fillId="0" borderId="12" xfId="62" applyNumberFormat="1" applyFont="1" applyFill="1" applyBorder="1" applyAlignment="1">
      <alignment horizontal="center" vertical="center" wrapText="1"/>
    </xf>
    <xf numFmtId="184" fontId="3" fillId="0" borderId="0" xfId="62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72" fillId="0" borderId="0" xfId="0" applyFont="1" applyAlignment="1">
      <alignment/>
    </xf>
    <xf numFmtId="49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justify" vertical="justify" wrapText="1"/>
    </xf>
    <xf numFmtId="184" fontId="3" fillId="34" borderId="22" xfId="62" applyNumberFormat="1" applyFont="1" applyFill="1" applyBorder="1" applyAlignment="1">
      <alignment horizontal="center" vertical="center" wrapText="1"/>
    </xf>
    <xf numFmtId="4" fontId="3" fillId="34" borderId="22" xfId="89" applyNumberFormat="1" applyFont="1" applyFill="1" applyBorder="1" applyAlignment="1">
      <alignment horizontal="center"/>
      <protection/>
    </xf>
    <xf numFmtId="44" fontId="3" fillId="34" borderId="22" xfId="62" applyFont="1" applyFill="1" applyBorder="1" applyAlignment="1">
      <alignment horizontal="right"/>
    </xf>
    <xf numFmtId="49" fontId="3" fillId="33" borderId="16" xfId="0" applyNumberFormat="1" applyFont="1" applyFill="1" applyBorder="1" applyAlignment="1">
      <alignment horizontal="center" vertical="center" wrapText="1"/>
    </xf>
    <xf numFmtId="4" fontId="3" fillId="33" borderId="17" xfId="89" applyNumberFormat="1" applyFont="1" applyFill="1" applyBorder="1" applyAlignment="1">
      <alignment horizontal="center"/>
      <protection/>
    </xf>
    <xf numFmtId="44" fontId="3" fillId="33" borderId="23" xfId="62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 vertical="justify" wrapText="1"/>
    </xf>
    <xf numFmtId="0" fontId="3" fillId="33" borderId="17" xfId="0" applyFont="1" applyFill="1" applyBorder="1" applyAlignment="1">
      <alignment horizontal="justify" vertical="justify" wrapText="1"/>
    </xf>
    <xf numFmtId="0" fontId="3" fillId="33" borderId="17" xfId="0" applyFont="1" applyFill="1" applyBorder="1" applyAlignment="1">
      <alignment horizontal="center" vertical="center"/>
    </xf>
    <xf numFmtId="184" fontId="3" fillId="33" borderId="17" xfId="62" applyNumberFormat="1" applyFont="1" applyFill="1" applyBorder="1" applyAlignment="1">
      <alignment horizontal="center" vertical="center" wrapText="1"/>
    </xf>
    <xf numFmtId="0" fontId="70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7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72" fillId="33" borderId="0" xfId="0" applyFont="1" applyFill="1" applyBorder="1" applyAlignment="1">
      <alignment horizontal="justify" vertical="justify" wrapText="1"/>
    </xf>
    <xf numFmtId="0" fontId="72" fillId="33" borderId="0" xfId="0" applyFont="1" applyFill="1" applyBorder="1" applyAlignment="1">
      <alignment horizontal="center" vertical="center"/>
    </xf>
    <xf numFmtId="4" fontId="72" fillId="33" borderId="0" xfId="89" applyNumberFormat="1" applyFont="1" applyFill="1" applyBorder="1" applyAlignment="1">
      <alignment horizontal="center"/>
      <protection/>
    </xf>
    <xf numFmtId="44" fontId="72" fillId="33" borderId="15" xfId="62" applyFont="1" applyFill="1" applyBorder="1" applyAlignment="1">
      <alignment horizontal="right"/>
    </xf>
    <xf numFmtId="0" fontId="3" fillId="35" borderId="0" xfId="0" applyFont="1" applyFill="1" applyAlignment="1">
      <alignment horizontal="center"/>
    </xf>
    <xf numFmtId="4" fontId="3" fillId="35" borderId="21" xfId="89" applyNumberFormat="1" applyFont="1" applyFill="1" applyBorder="1" applyAlignment="1">
      <alignment horizontal="center"/>
      <protection/>
    </xf>
    <xf numFmtId="4" fontId="3" fillId="35" borderId="19" xfId="89" applyNumberFormat="1" applyFont="1" applyFill="1" applyBorder="1" applyAlignment="1">
      <alignment horizontal="center"/>
      <protection/>
    </xf>
    <xf numFmtId="0" fontId="70" fillId="0" borderId="17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4" fontId="3" fillId="35" borderId="18" xfId="89" applyNumberFormat="1" applyFont="1" applyFill="1" applyBorder="1" applyAlignment="1">
      <alignment horizontal="center"/>
      <protection/>
    </xf>
    <xf numFmtId="4" fontId="3" fillId="35" borderId="22" xfId="89" applyNumberFormat="1" applyFont="1" applyFill="1" applyBorder="1" applyAlignment="1">
      <alignment horizontal="center"/>
      <protection/>
    </xf>
    <xf numFmtId="49" fontId="72" fillId="33" borderId="14" xfId="0" applyNumberFormat="1" applyFont="1" applyFill="1" applyBorder="1" applyAlignment="1">
      <alignment horizontal="center" vertical="center" wrapText="1"/>
    </xf>
    <xf numFmtId="184" fontId="72" fillId="33" borderId="0" xfId="62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/>
    </xf>
    <xf numFmtId="0" fontId="3" fillId="33" borderId="22" xfId="0" applyFont="1" applyFill="1" applyBorder="1" applyAlignment="1">
      <alignment horizontal="justify" vertical="justify" wrapText="1"/>
    </xf>
    <xf numFmtId="0" fontId="3" fillId="33" borderId="22" xfId="0" applyFont="1" applyFill="1" applyBorder="1" applyAlignment="1">
      <alignment horizontal="center" vertical="center"/>
    </xf>
    <xf numFmtId="44" fontId="4" fillId="33" borderId="22" xfId="62" applyFont="1" applyFill="1" applyBorder="1" applyAlignment="1">
      <alignment horizontal="center"/>
    </xf>
    <xf numFmtId="0" fontId="3" fillId="33" borderId="18" xfId="89" applyFont="1" applyFill="1" applyBorder="1" applyAlignment="1">
      <alignment horizontal="center"/>
      <protection/>
    </xf>
    <xf numFmtId="0" fontId="3" fillId="33" borderId="18" xfId="89" applyFont="1" applyFill="1" applyBorder="1" applyAlignment="1">
      <alignment horizontal="center" vertical="center" wrapText="1"/>
      <protection/>
    </xf>
    <xf numFmtId="177" fontId="3" fillId="33" borderId="18" xfId="0" applyNumberFormat="1" applyFont="1" applyFill="1" applyBorder="1" applyAlignment="1">
      <alignment horizontal="center" vertical="center"/>
    </xf>
    <xf numFmtId="4" fontId="3" fillId="33" borderId="18" xfId="89" applyNumberFormat="1" applyFont="1" applyFill="1" applyBorder="1" applyAlignment="1">
      <alignment horizontal="center"/>
      <protection/>
    </xf>
    <xf numFmtId="44" fontId="3" fillId="33" borderId="18" xfId="62" applyFont="1" applyFill="1" applyBorder="1" applyAlignment="1">
      <alignment horizontal="right"/>
    </xf>
    <xf numFmtId="184" fontId="3" fillId="33" borderId="18" xfId="62" applyNumberFormat="1" applyFont="1" applyFill="1" applyBorder="1" applyAlignment="1">
      <alignment horizontal="center" vertical="center" wrapText="1"/>
    </xf>
    <xf numFmtId="4" fontId="3" fillId="33" borderId="0" xfId="88" applyNumberFormat="1" applyFont="1" applyFill="1" applyBorder="1" applyAlignment="1">
      <alignment horizontal="left"/>
      <protection/>
    </xf>
    <xf numFmtId="0" fontId="4" fillId="34" borderId="18" xfId="0" applyFont="1" applyFill="1" applyBorder="1" applyAlignment="1">
      <alignment horizontal="center"/>
    </xf>
    <xf numFmtId="4" fontId="71" fillId="33" borderId="0" xfId="88" applyNumberFormat="1" applyFont="1" applyFill="1" applyBorder="1" applyAlignment="1">
      <alignment horizontal="left" vertical="center"/>
      <protection/>
    </xf>
    <xf numFmtId="4" fontId="71" fillId="33" borderId="12" xfId="88" applyNumberFormat="1" applyFont="1" applyFill="1" applyBorder="1" applyAlignment="1">
      <alignment horizontal="left" vertical="center"/>
      <protection/>
    </xf>
    <xf numFmtId="4" fontId="71" fillId="33" borderId="11" xfId="87" applyNumberFormat="1" applyFont="1" applyFill="1" applyBorder="1" applyAlignment="1">
      <alignment horizontal="left"/>
      <protection/>
    </xf>
    <xf numFmtId="4" fontId="71" fillId="33" borderId="14" xfId="72" applyNumberFormat="1" applyFont="1" applyFill="1" applyBorder="1" applyAlignment="1">
      <alignment horizontal="left"/>
      <protection/>
    </xf>
    <xf numFmtId="0" fontId="3" fillId="33" borderId="18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right" vertical="center"/>
    </xf>
    <xf numFmtId="8" fontId="5" fillId="0" borderId="0" xfId="0" applyNumberFormat="1" applyFont="1" applyAlignment="1">
      <alignment vertical="center"/>
    </xf>
    <xf numFmtId="44" fontId="70" fillId="0" borderId="0" xfId="0" applyNumberFormat="1" applyFont="1" applyAlignment="1">
      <alignment/>
    </xf>
    <xf numFmtId="0" fontId="3" fillId="33" borderId="19" xfId="0" applyFont="1" applyFill="1" applyBorder="1" applyAlignment="1">
      <alignment horizontal="justify" vertical="justify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184" fontId="4" fillId="33" borderId="0" xfId="62" applyNumberFormat="1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3" fillId="34" borderId="18" xfId="0" applyFont="1" applyFill="1" applyBorder="1" applyAlignment="1">
      <alignment/>
    </xf>
    <xf numFmtId="44" fontId="4" fillId="34" borderId="18" xfId="62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4" fillId="34" borderId="18" xfId="0" applyFont="1" applyFill="1" applyBorder="1" applyAlignment="1">
      <alignment horizontal="center" vertical="center"/>
    </xf>
    <xf numFmtId="44" fontId="4" fillId="34" borderId="18" xfId="62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justify" vertical="center" wrapText="1"/>
    </xf>
    <xf numFmtId="0" fontId="4" fillId="34" borderId="18" xfId="0" applyFont="1" applyFill="1" applyBorder="1" applyAlignment="1">
      <alignment horizontal="justify" vertical="center" wrapText="1"/>
    </xf>
    <xf numFmtId="44" fontId="4" fillId="34" borderId="0" xfId="62" applyFont="1" applyFill="1" applyBorder="1" applyAlignment="1">
      <alignment horizontal="center"/>
    </xf>
    <xf numFmtId="44" fontId="4" fillId="34" borderId="19" xfId="62" applyFont="1" applyFill="1" applyBorder="1" applyAlignment="1">
      <alignment horizontal="center"/>
    </xf>
    <xf numFmtId="4" fontId="4" fillId="34" borderId="18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right" vertical="center"/>
    </xf>
    <xf numFmtId="4" fontId="4" fillId="34" borderId="0" xfId="0" applyNumberFormat="1" applyFont="1" applyFill="1" applyBorder="1" applyAlignment="1">
      <alignment horizontal="center" vertical="center"/>
    </xf>
    <xf numFmtId="44" fontId="3" fillId="34" borderId="0" xfId="0" applyNumberFormat="1" applyFont="1" applyFill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10" fillId="35" borderId="0" xfId="0" applyFont="1" applyFill="1" applyAlignment="1">
      <alignment/>
    </xf>
    <xf numFmtId="0" fontId="73" fillId="35" borderId="0" xfId="0" applyFont="1" applyFill="1" applyAlignment="1">
      <alignment/>
    </xf>
    <xf numFmtId="0" fontId="4" fillId="0" borderId="18" xfId="0" applyFont="1" applyBorder="1" applyAlignment="1">
      <alignment horizontal="justify" vertical="justify" wrapText="1"/>
    </xf>
    <xf numFmtId="0" fontId="4" fillId="0" borderId="18" xfId="0" applyFont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right" vertical="center"/>
    </xf>
    <xf numFmtId="0" fontId="3" fillId="34" borderId="18" xfId="89" applyFont="1" applyFill="1" applyBorder="1" applyAlignment="1">
      <alignment horizontal="center"/>
      <protection/>
    </xf>
    <xf numFmtId="0" fontId="3" fillId="34" borderId="18" xfId="89" applyFont="1" applyFill="1" applyBorder="1" applyAlignment="1">
      <alignment horizontal="center" vertical="center" wrapText="1"/>
      <protection/>
    </xf>
    <xf numFmtId="177" fontId="3" fillId="34" borderId="18" xfId="0" applyNumberFormat="1" applyFont="1" applyFill="1" applyBorder="1" applyAlignment="1">
      <alignment horizontal="center" vertical="center"/>
    </xf>
    <xf numFmtId="0" fontId="3" fillId="33" borderId="14" xfId="89" applyFont="1" applyFill="1" applyBorder="1" applyAlignment="1">
      <alignment horizontal="center"/>
      <protection/>
    </xf>
    <xf numFmtId="0" fontId="3" fillId="33" borderId="0" xfId="89" applyFont="1" applyFill="1" applyBorder="1" applyAlignment="1">
      <alignment horizontal="center" vertical="center" wrapText="1"/>
      <protection/>
    </xf>
    <xf numFmtId="177" fontId="3" fillId="33" borderId="0" xfId="0" applyNumberFormat="1" applyFont="1" applyFill="1" applyBorder="1" applyAlignment="1">
      <alignment horizontal="center" vertical="center"/>
    </xf>
    <xf numFmtId="0" fontId="3" fillId="34" borderId="21" xfId="89" applyFont="1" applyFill="1" applyBorder="1" applyAlignment="1">
      <alignment horizontal="center"/>
      <protection/>
    </xf>
    <xf numFmtId="0" fontId="3" fillId="34" borderId="21" xfId="89" applyFont="1" applyFill="1" applyBorder="1" applyAlignment="1">
      <alignment horizontal="center" vertical="center" wrapText="1"/>
      <protection/>
    </xf>
    <xf numFmtId="177" fontId="3" fillId="34" borderId="21" xfId="0" applyNumberFormat="1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/>
    </xf>
    <xf numFmtId="0" fontId="70" fillId="0" borderId="12" xfId="0" applyFont="1" applyBorder="1" applyAlignment="1">
      <alignment horizontal="justify" vertical="justify" wrapText="1"/>
    </xf>
    <xf numFmtId="2" fontId="70" fillId="0" borderId="12" xfId="0" applyNumberFormat="1" applyFont="1" applyBorder="1" applyAlignment="1">
      <alignment/>
    </xf>
    <xf numFmtId="0" fontId="70" fillId="0" borderId="13" xfId="0" applyFont="1" applyBorder="1" applyAlignment="1">
      <alignment/>
    </xf>
    <xf numFmtId="0" fontId="70" fillId="0" borderId="14" xfId="0" applyFont="1" applyBorder="1" applyAlignment="1">
      <alignment/>
    </xf>
    <xf numFmtId="0" fontId="70" fillId="0" borderId="0" xfId="0" applyFont="1" applyBorder="1" applyAlignment="1">
      <alignment horizontal="justify" vertical="justify" wrapText="1"/>
    </xf>
    <xf numFmtId="2" fontId="70" fillId="0" borderId="0" xfId="0" applyNumberFormat="1" applyFont="1" applyBorder="1" applyAlignment="1">
      <alignment/>
    </xf>
    <xf numFmtId="0" fontId="70" fillId="0" borderId="15" xfId="0" applyFont="1" applyBorder="1" applyAlignment="1">
      <alignment/>
    </xf>
    <xf numFmtId="0" fontId="70" fillId="0" borderId="16" xfId="0" applyFont="1" applyBorder="1" applyAlignment="1">
      <alignment/>
    </xf>
    <xf numFmtId="0" fontId="70" fillId="0" borderId="17" xfId="0" applyFont="1" applyBorder="1" applyAlignment="1">
      <alignment horizontal="justify" vertical="justify" wrapText="1"/>
    </xf>
    <xf numFmtId="2" fontId="70" fillId="0" borderId="17" xfId="0" applyNumberFormat="1" applyFont="1" applyBorder="1" applyAlignment="1">
      <alignment/>
    </xf>
    <xf numFmtId="0" fontId="70" fillId="0" borderId="23" xfId="0" applyFont="1" applyBorder="1" applyAlignment="1">
      <alignment/>
    </xf>
    <xf numFmtId="0" fontId="3" fillId="34" borderId="22" xfId="89" applyFont="1" applyFill="1" applyBorder="1" applyAlignment="1">
      <alignment horizontal="center"/>
      <protection/>
    </xf>
    <xf numFmtId="0" fontId="3" fillId="34" borderId="22" xfId="89" applyFont="1" applyFill="1" applyBorder="1" applyAlignment="1">
      <alignment horizontal="center" vertical="center" wrapText="1"/>
      <protection/>
    </xf>
    <xf numFmtId="177" fontId="3" fillId="34" borderId="22" xfId="0" applyNumberFormat="1" applyFont="1" applyFill="1" applyBorder="1" applyAlignment="1">
      <alignment horizontal="center" vertical="center"/>
    </xf>
    <xf numFmtId="0" fontId="70" fillId="0" borderId="0" xfId="0" applyFont="1" applyAlignment="1">
      <alignment horizontal="justify" vertical="justify" wrapText="1"/>
    </xf>
    <xf numFmtId="171" fontId="70" fillId="0" borderId="0" xfId="0" applyNumberFormat="1" applyFont="1" applyAlignment="1">
      <alignment/>
    </xf>
    <xf numFmtId="170" fontId="70" fillId="0" borderId="0" xfId="0" applyNumberFormat="1" applyFont="1" applyAlignment="1">
      <alignment/>
    </xf>
    <xf numFmtId="0" fontId="3" fillId="34" borderId="19" xfId="89" applyFont="1" applyFill="1" applyBorder="1" applyAlignment="1">
      <alignment horizontal="center"/>
      <protection/>
    </xf>
    <xf numFmtId="0" fontId="3" fillId="34" borderId="19" xfId="89" applyFont="1" applyFill="1" applyBorder="1" applyAlignment="1">
      <alignment horizontal="center" vertical="center" wrapText="1"/>
      <protection/>
    </xf>
    <xf numFmtId="177" fontId="3" fillId="34" borderId="19" xfId="0" applyNumberFormat="1" applyFont="1" applyFill="1" applyBorder="1" applyAlignment="1">
      <alignment horizontal="center" vertical="center"/>
    </xf>
    <xf numFmtId="0" fontId="3" fillId="33" borderId="11" xfId="89" applyFont="1" applyFill="1" applyBorder="1" applyAlignment="1">
      <alignment horizontal="center"/>
      <protection/>
    </xf>
    <xf numFmtId="0" fontId="3" fillId="33" borderId="12" xfId="89" applyFont="1" applyFill="1" applyBorder="1" applyAlignment="1">
      <alignment horizontal="center" vertical="center" wrapText="1"/>
      <protection/>
    </xf>
    <xf numFmtId="177" fontId="3" fillId="33" borderId="12" xfId="0" applyNumberFormat="1" applyFont="1" applyFill="1" applyBorder="1" applyAlignment="1">
      <alignment horizontal="center" vertical="center"/>
    </xf>
    <xf numFmtId="4" fontId="72" fillId="35" borderId="18" xfId="89" applyNumberFormat="1" applyFont="1" applyFill="1" applyBorder="1" applyAlignment="1">
      <alignment horizontal="center"/>
      <protection/>
    </xf>
    <xf numFmtId="0" fontId="3" fillId="33" borderId="0" xfId="89" applyFont="1" applyFill="1" applyBorder="1" applyAlignment="1">
      <alignment horizontal="center"/>
      <protection/>
    </xf>
    <xf numFmtId="44" fontId="3" fillId="33" borderId="0" xfId="62" applyFont="1" applyFill="1" applyBorder="1" applyAlignment="1">
      <alignment horizontal="right"/>
    </xf>
    <xf numFmtId="0" fontId="3" fillId="33" borderId="18" xfId="0" applyFont="1" applyFill="1" applyBorder="1" applyAlignment="1">
      <alignment horizontal="center"/>
    </xf>
    <xf numFmtId="0" fontId="70" fillId="34" borderId="19" xfId="0" applyFont="1" applyFill="1" applyBorder="1" applyAlignment="1">
      <alignment horizontal="center" vertical="justify" wrapText="1"/>
    </xf>
    <xf numFmtId="0" fontId="70" fillId="33" borderId="12" xfId="0" applyFont="1" applyFill="1" applyBorder="1" applyAlignment="1">
      <alignment horizontal="center" vertical="justify" wrapText="1"/>
    </xf>
    <xf numFmtId="0" fontId="71" fillId="33" borderId="0" xfId="0" applyFont="1" applyFill="1" applyBorder="1" applyAlignment="1">
      <alignment horizontal="center" vertical="justify" wrapText="1"/>
    </xf>
    <xf numFmtId="0" fontId="70" fillId="33" borderId="0" xfId="0" applyFont="1" applyFill="1" applyBorder="1" applyAlignment="1">
      <alignment horizontal="center" vertical="justify" wrapText="1"/>
    </xf>
    <xf numFmtId="0" fontId="70" fillId="33" borderId="17" xfId="0" applyFont="1" applyFill="1" applyBorder="1" applyAlignment="1">
      <alignment horizontal="center" vertical="justify" wrapText="1"/>
    </xf>
    <xf numFmtId="0" fontId="70" fillId="34" borderId="22" xfId="0" applyFont="1" applyFill="1" applyBorder="1" applyAlignment="1">
      <alignment horizontal="center" vertical="justify" wrapText="1"/>
    </xf>
    <xf numFmtId="0" fontId="70" fillId="0" borderId="11" xfId="0" applyFont="1" applyBorder="1" applyAlignment="1">
      <alignment/>
    </xf>
    <xf numFmtId="0" fontId="70" fillId="0" borderId="12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0" fillId="34" borderId="21" xfId="0" applyFont="1" applyFill="1" applyBorder="1" applyAlignment="1">
      <alignment horizontal="center" vertical="justify" wrapText="1"/>
    </xf>
    <xf numFmtId="186" fontId="3" fillId="33" borderId="12" xfId="62" applyNumberFormat="1" applyFont="1" applyFill="1" applyBorder="1" applyAlignment="1">
      <alignment horizontal="center" vertical="center" wrapText="1"/>
    </xf>
    <xf numFmtId="186" fontId="3" fillId="33" borderId="0" xfId="62" applyNumberFormat="1" applyFont="1" applyFill="1" applyBorder="1" applyAlignment="1">
      <alignment horizontal="center" vertical="center" wrapText="1"/>
    </xf>
    <xf numFmtId="184" fontId="70" fillId="0" borderId="0" xfId="0" applyNumberFormat="1" applyFont="1" applyAlignment="1">
      <alignment/>
    </xf>
    <xf numFmtId="44" fontId="4" fillId="33" borderId="13" xfId="62" applyFont="1" applyFill="1" applyBorder="1" applyAlignment="1">
      <alignment horizontal="right"/>
    </xf>
    <xf numFmtId="0" fontId="72" fillId="0" borderId="0" xfId="0" applyFont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justify" wrapText="1"/>
    </xf>
    <xf numFmtId="0" fontId="70" fillId="0" borderId="12" xfId="0" applyFont="1" applyBorder="1" applyAlignment="1">
      <alignment horizontal="center" vertical="center"/>
    </xf>
    <xf numFmtId="4" fontId="4" fillId="33" borderId="12" xfId="89" applyNumberFormat="1" applyFont="1" applyFill="1" applyBorder="1" applyAlignment="1">
      <alignment horizontal="center"/>
      <protection/>
    </xf>
    <xf numFmtId="0" fontId="70" fillId="0" borderId="0" xfId="0" applyFont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4" fillId="33" borderId="17" xfId="0" applyFont="1" applyFill="1" applyBorder="1" applyAlignment="1">
      <alignment horizontal="right" vertical="justify" wrapText="1"/>
    </xf>
    <xf numFmtId="184" fontId="4" fillId="33" borderId="17" xfId="62" applyNumberFormat="1" applyFont="1" applyFill="1" applyBorder="1" applyAlignment="1">
      <alignment horizontal="center" vertical="center" wrapText="1"/>
    </xf>
    <xf numFmtId="0" fontId="70" fillId="34" borderId="18" xfId="0" applyFont="1" applyFill="1" applyBorder="1" applyAlignment="1">
      <alignment horizontal="center" vertical="center"/>
    </xf>
    <xf numFmtId="0" fontId="70" fillId="34" borderId="21" xfId="0" applyFont="1" applyFill="1" applyBorder="1" applyAlignment="1">
      <alignment horizontal="center" vertical="center"/>
    </xf>
    <xf numFmtId="44" fontId="3" fillId="34" borderId="14" xfId="62" applyFont="1" applyFill="1" applyBorder="1" applyAlignment="1">
      <alignment horizontal="right"/>
    </xf>
    <xf numFmtId="0" fontId="70" fillId="0" borderId="14" xfId="0" applyFont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0" fontId="70" fillId="34" borderId="22" xfId="0" applyFont="1" applyFill="1" applyBorder="1" applyAlignment="1">
      <alignment horizontal="center" vertical="center"/>
    </xf>
    <xf numFmtId="4" fontId="4" fillId="33" borderId="0" xfId="88" applyNumberFormat="1" applyFont="1" applyFill="1" applyBorder="1" applyAlignment="1">
      <alignment horizontal="left"/>
      <protection/>
    </xf>
    <xf numFmtId="0" fontId="0" fillId="0" borderId="18" xfId="0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7" fontId="0" fillId="0" borderId="18" xfId="0" applyNumberFormat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191" fontId="0" fillId="0" borderId="18" xfId="0" applyNumberFormat="1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7" fontId="17" fillId="33" borderId="0" xfId="62" applyNumberFormat="1" applyFont="1" applyFill="1" applyBorder="1" applyAlignment="1">
      <alignment horizontal="center" vertical="center" wrapText="1"/>
    </xf>
    <xf numFmtId="44" fontId="6" fillId="0" borderId="12" xfId="72" applyNumberFormat="1" applyFont="1" applyBorder="1" applyAlignment="1">
      <alignment horizontal="center" vertical="center" wrapText="1" readingOrder="1"/>
      <protection/>
    </xf>
    <xf numFmtId="44" fontId="9" fillId="0" borderId="12" xfId="72" applyNumberFormat="1" applyFont="1" applyBorder="1" applyAlignment="1">
      <alignment horizontal="center" vertical="center" wrapText="1" readingOrder="1"/>
      <protection/>
    </xf>
    <xf numFmtId="0" fontId="10" fillId="0" borderId="13" xfId="84" applyFont="1" applyBorder="1">
      <alignment/>
      <protection/>
    </xf>
    <xf numFmtId="0" fontId="10" fillId="0" borderId="0" xfId="84" applyFont="1">
      <alignment/>
      <protection/>
    </xf>
    <xf numFmtId="0" fontId="18" fillId="0" borderId="0" xfId="84" applyFont="1">
      <alignment/>
      <protection/>
    </xf>
    <xf numFmtId="0" fontId="14" fillId="0" borderId="0" xfId="84">
      <alignment/>
      <protection/>
    </xf>
    <xf numFmtId="44" fontId="6" fillId="0" borderId="0" xfId="72" applyNumberFormat="1" applyFont="1" applyBorder="1" applyAlignment="1">
      <alignment horizontal="center" vertical="center" wrapText="1" readingOrder="1"/>
      <protection/>
    </xf>
    <xf numFmtId="44" fontId="9" fillId="0" borderId="0" xfId="72" applyNumberFormat="1" applyFont="1" applyBorder="1" applyAlignment="1">
      <alignment horizontal="center" vertical="center" wrapText="1" readingOrder="1"/>
      <protection/>
    </xf>
    <xf numFmtId="0" fontId="10" fillId="0" borderId="15" xfId="84" applyFont="1" applyBorder="1">
      <alignment/>
      <protection/>
    </xf>
    <xf numFmtId="4" fontId="18" fillId="0" borderId="0" xfId="72" applyNumberFormat="1" applyFont="1" applyFill="1" applyBorder="1" applyAlignment="1">
      <alignment horizontal="center" vertical="center" wrapText="1" readingOrder="1"/>
      <protection/>
    </xf>
    <xf numFmtId="4" fontId="73" fillId="0" borderId="0" xfId="72" applyNumberFormat="1" applyFont="1" applyFill="1" applyBorder="1" applyAlignment="1">
      <alignment horizontal="center" vertical="center" wrapText="1" readingOrder="1"/>
      <protection/>
    </xf>
    <xf numFmtId="0" fontId="18" fillId="0" borderId="0" xfId="88" applyFont="1" applyFill="1" applyBorder="1" applyAlignment="1">
      <alignment horizontal="center"/>
      <protection/>
    </xf>
    <xf numFmtId="0" fontId="10" fillId="0" borderId="0" xfId="88" applyFont="1" applyFill="1" applyBorder="1" applyAlignment="1">
      <alignment horizontal="center"/>
      <protection/>
    </xf>
    <xf numFmtId="4" fontId="18" fillId="0" borderId="0" xfId="72" applyNumberFormat="1" applyFont="1" applyFill="1" applyBorder="1" applyAlignment="1">
      <alignment horizontal="center" vertical="center" wrapText="1"/>
      <protection/>
    </xf>
    <xf numFmtId="4" fontId="73" fillId="0" borderId="0" xfId="72" applyNumberFormat="1" applyFont="1" applyFill="1" applyBorder="1" applyAlignment="1">
      <alignment horizontal="center" vertical="center" wrapText="1"/>
      <protection/>
    </xf>
    <xf numFmtId="4" fontId="18" fillId="0" borderId="0" xfId="88" applyNumberFormat="1" applyFont="1" applyFill="1" applyBorder="1" applyAlignment="1">
      <alignment horizontal="center" vertical="center" wrapText="1"/>
      <protection/>
    </xf>
    <xf numFmtId="4" fontId="73" fillId="0" borderId="0" xfId="88" applyNumberFormat="1" applyFont="1" applyFill="1" applyBorder="1" applyAlignment="1">
      <alignment horizontal="center" vertical="center" wrapText="1"/>
      <protection/>
    </xf>
    <xf numFmtId="4" fontId="18" fillId="0" borderId="17" xfId="88" applyNumberFormat="1" applyFont="1" applyFill="1" applyBorder="1" applyAlignment="1">
      <alignment horizontal="center" vertical="center" wrapText="1"/>
      <protection/>
    </xf>
    <xf numFmtId="4" fontId="73" fillId="0" borderId="17" xfId="88" applyNumberFormat="1" applyFont="1" applyFill="1" applyBorder="1" applyAlignment="1">
      <alignment horizontal="center" vertical="center" wrapText="1"/>
      <protection/>
    </xf>
    <xf numFmtId="0" fontId="10" fillId="0" borderId="23" xfId="84" applyFont="1" applyBorder="1">
      <alignment/>
      <protection/>
    </xf>
    <xf numFmtId="0" fontId="7" fillId="0" borderId="18" xfId="84" applyFont="1" applyBorder="1" applyAlignment="1">
      <alignment horizontal="center"/>
      <protection/>
    </xf>
    <xf numFmtId="0" fontId="18" fillId="0" borderId="0" xfId="84" applyFont="1" applyBorder="1">
      <alignment/>
      <protection/>
    </xf>
    <xf numFmtId="0" fontId="14" fillId="0" borderId="0" xfId="84" applyBorder="1">
      <alignment/>
      <protection/>
    </xf>
    <xf numFmtId="0" fontId="7" fillId="0" borderId="19" xfId="84" applyFont="1" applyBorder="1" applyAlignment="1">
      <alignment horizontal="center"/>
      <protection/>
    </xf>
    <xf numFmtId="0" fontId="7" fillId="0" borderId="13" xfId="84" applyFont="1" applyBorder="1" applyAlignment="1">
      <alignment horizontal="center"/>
      <protection/>
    </xf>
    <xf numFmtId="0" fontId="6" fillId="0" borderId="24" xfId="85" applyFont="1" applyFill="1" applyBorder="1" applyAlignment="1">
      <alignment vertical="top"/>
      <protection/>
    </xf>
    <xf numFmtId="39" fontId="18" fillId="0" borderId="24" xfId="84" applyNumberFormat="1" applyFont="1" applyBorder="1" applyAlignment="1">
      <alignment/>
      <protection/>
    </xf>
    <xf numFmtId="0" fontId="6" fillId="0" borderId="18" xfId="87" applyFont="1" applyFill="1" applyBorder="1" applyAlignment="1">
      <alignment vertical="top"/>
      <protection/>
    </xf>
    <xf numFmtId="0" fontId="18" fillId="0" borderId="18" xfId="87" applyFont="1" applyFill="1" applyBorder="1" applyAlignment="1">
      <alignment horizontal="left" vertical="top"/>
      <protection/>
    </xf>
    <xf numFmtId="10" fontId="18" fillId="0" borderId="18" xfId="97" applyNumberFormat="1" applyFont="1" applyFill="1" applyBorder="1" applyAlignment="1">
      <alignment/>
    </xf>
    <xf numFmtId="4" fontId="18" fillId="0" borderId="18" xfId="84" applyNumberFormat="1" applyFont="1" applyFill="1" applyBorder="1" applyAlignment="1">
      <alignment/>
      <protection/>
    </xf>
    <xf numFmtId="4" fontId="18" fillId="34" borderId="18" xfId="84" applyNumberFormat="1" applyFont="1" applyFill="1" applyBorder="1" applyAlignment="1">
      <alignment/>
      <protection/>
    </xf>
    <xf numFmtId="10" fontId="18" fillId="34" borderId="18" xfId="84" applyNumberFormat="1" applyFont="1" applyFill="1" applyBorder="1" applyAlignment="1">
      <alignment/>
      <protection/>
    </xf>
    <xf numFmtId="4" fontId="6" fillId="0" borderId="18" xfId="69" applyNumberFormat="1" applyFont="1" applyFill="1" applyBorder="1" applyAlignment="1">
      <alignment horizontal="right"/>
      <protection/>
    </xf>
    <xf numFmtId="39" fontId="18" fillId="0" borderId="0" xfId="84" applyNumberFormat="1" applyFont="1">
      <alignment/>
      <protection/>
    </xf>
    <xf numFmtId="4" fontId="18" fillId="0" borderId="0" xfId="84" applyNumberFormat="1" applyFont="1">
      <alignment/>
      <protection/>
    </xf>
    <xf numFmtId="0" fontId="18" fillId="0" borderId="18" xfId="87" applyFont="1" applyFill="1" applyBorder="1" applyAlignment="1">
      <alignment horizontal="justify" vertical="justify" wrapText="1"/>
      <protection/>
    </xf>
    <xf numFmtId="10" fontId="18" fillId="0" borderId="18" xfId="84" applyNumberFormat="1" applyFont="1" applyFill="1" applyBorder="1" applyAlignment="1">
      <alignment/>
      <protection/>
    </xf>
    <xf numFmtId="10" fontId="18" fillId="33" borderId="18" xfId="84" applyNumberFormat="1" applyFont="1" applyFill="1" applyBorder="1" applyAlignment="1">
      <alignment/>
      <protection/>
    </xf>
    <xf numFmtId="10" fontId="18" fillId="34" borderId="18" xfId="97" applyNumberFormat="1" applyFont="1" applyFill="1" applyBorder="1" applyAlignment="1">
      <alignment/>
    </xf>
    <xf numFmtId="0" fontId="19" fillId="0" borderId="18" xfId="87" applyFont="1" applyBorder="1" applyAlignment="1">
      <alignment vertical="top"/>
      <protection/>
    </xf>
    <xf numFmtId="0" fontId="19" fillId="0" borderId="18" xfId="87" applyFont="1" applyBorder="1" applyAlignment="1">
      <alignment horizontal="left" vertical="top"/>
      <protection/>
    </xf>
    <xf numFmtId="10" fontId="20" fillId="0" borderId="18" xfId="97" applyNumberFormat="1" applyFont="1" applyBorder="1" applyAlignment="1" quotePrefix="1">
      <alignment/>
    </xf>
    <xf numFmtId="39" fontId="20" fillId="0" borderId="18" xfId="84" applyNumberFormat="1" applyFont="1" applyBorder="1" applyAlignment="1">
      <alignment/>
      <protection/>
    </xf>
    <xf numFmtId="4" fontId="6" fillId="0" borderId="18" xfId="69" applyNumberFormat="1" applyFont="1" applyBorder="1">
      <alignment/>
      <protection/>
    </xf>
    <xf numFmtId="4" fontId="18" fillId="36" borderId="19" xfId="69" applyNumberFormat="1" applyFont="1" applyFill="1" applyBorder="1">
      <alignment/>
      <protection/>
    </xf>
    <xf numFmtId="0" fontId="18" fillId="36" borderId="21" xfId="69" applyFont="1" applyFill="1" applyBorder="1">
      <alignment/>
      <protection/>
    </xf>
    <xf numFmtId="201" fontId="6" fillId="36" borderId="21" xfId="97" applyNumberFormat="1" applyFont="1" applyFill="1" applyBorder="1" applyAlignment="1">
      <alignment horizontal="center"/>
    </xf>
    <xf numFmtId="0" fontId="18" fillId="36" borderId="22" xfId="84" applyFont="1" applyFill="1" applyBorder="1">
      <alignment/>
      <protection/>
    </xf>
    <xf numFmtId="0" fontId="21" fillId="0" borderId="0" xfId="84" applyFont="1">
      <alignment/>
      <protection/>
    </xf>
    <xf numFmtId="184" fontId="3" fillId="35" borderId="21" xfId="62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74" fillId="0" borderId="0" xfId="0" applyFont="1" applyAlignment="1">
      <alignment/>
    </xf>
    <xf numFmtId="0" fontId="46" fillId="34" borderId="21" xfId="0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75" fillId="0" borderId="0" xfId="0" applyFont="1" applyAlignment="1">
      <alignment/>
    </xf>
    <xf numFmtId="0" fontId="46" fillId="0" borderId="0" xfId="0" applyFont="1" applyBorder="1" applyAlignment="1">
      <alignment horizontal="center" vertical="center"/>
    </xf>
    <xf numFmtId="0" fontId="46" fillId="34" borderId="18" xfId="0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0" fontId="3" fillId="34" borderId="18" xfId="0" applyFont="1" applyFill="1" applyBorder="1" applyAlignment="1">
      <alignment horizontal="center"/>
    </xf>
    <xf numFmtId="4" fontId="3" fillId="34" borderId="18" xfId="0" applyNumberFormat="1" applyFont="1" applyFill="1" applyBorder="1" applyAlignment="1">
      <alignment/>
    </xf>
    <xf numFmtId="4" fontId="3" fillId="34" borderId="18" xfId="69" applyNumberFormat="1" applyFont="1" applyFill="1" applyBorder="1" applyAlignment="1">
      <alignment horizontal="right"/>
      <protection/>
    </xf>
    <xf numFmtId="0" fontId="49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3" borderId="13" xfId="69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0" fontId="17" fillId="0" borderId="0" xfId="0" applyFont="1" applyAlignment="1">
      <alignment/>
    </xf>
    <xf numFmtId="0" fontId="4" fillId="33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4" fontId="4" fillId="33" borderId="0" xfId="0" applyNumberFormat="1" applyFont="1" applyFill="1" applyBorder="1" applyAlignment="1">
      <alignment/>
    </xf>
    <xf numFmtId="4" fontId="4" fillId="33" borderId="15" xfId="69" applyNumberFormat="1" applyFont="1" applyFill="1" applyBorder="1" applyAlignment="1">
      <alignment horizontal="right"/>
      <protection/>
    </xf>
    <xf numFmtId="0" fontId="3" fillId="33" borderId="14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15" xfId="69" applyNumberFormat="1" applyFont="1" applyFill="1" applyBorder="1" applyAlignment="1">
      <alignment horizontal="right"/>
      <protection/>
    </xf>
    <xf numFmtId="186" fontId="3" fillId="33" borderId="17" xfId="62" applyNumberFormat="1" applyFont="1" applyFill="1" applyBorder="1" applyAlignment="1">
      <alignment horizontal="center" vertical="center" wrapText="1"/>
    </xf>
    <xf numFmtId="178" fontId="3" fillId="33" borderId="0" xfId="0" applyNumberFormat="1" applyFont="1" applyFill="1" applyBorder="1" applyAlignment="1">
      <alignment/>
    </xf>
    <xf numFmtId="205" fontId="3" fillId="34" borderId="18" xfId="62" applyNumberFormat="1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/>
    </xf>
    <xf numFmtId="0" fontId="3" fillId="34" borderId="19" xfId="0" applyFont="1" applyFill="1" applyBorder="1" applyAlignment="1">
      <alignment/>
    </xf>
    <xf numFmtId="4" fontId="3" fillId="34" borderId="19" xfId="0" applyNumberFormat="1" applyFont="1" applyFill="1" applyBorder="1" applyAlignment="1">
      <alignment/>
    </xf>
    <xf numFmtId="4" fontId="3" fillId="34" borderId="19" xfId="69" applyNumberFormat="1" applyFont="1" applyFill="1" applyBorder="1" applyAlignment="1">
      <alignment horizontal="right"/>
      <protection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4" fontId="3" fillId="33" borderId="17" xfId="0" applyNumberFormat="1" applyFont="1" applyFill="1" applyBorder="1" applyAlignment="1">
      <alignment/>
    </xf>
    <xf numFmtId="4" fontId="3" fillId="33" borderId="23" xfId="69" applyNumberFormat="1" applyFont="1" applyFill="1" applyBorder="1" applyAlignment="1">
      <alignment horizontal="right"/>
      <protection/>
    </xf>
    <xf numFmtId="184" fontId="3" fillId="33" borderId="20" xfId="62" applyNumberFormat="1" applyFont="1" applyFill="1" applyBorder="1" applyAlignment="1">
      <alignment horizontal="center" vertical="center" wrapText="1"/>
    </xf>
    <xf numFmtId="172" fontId="3" fillId="0" borderId="0" xfId="0" applyNumberFormat="1" applyFont="1" applyAlignment="1">
      <alignment/>
    </xf>
    <xf numFmtId="206" fontId="70" fillId="0" borderId="0" xfId="0" applyNumberFormat="1" applyFont="1" applyAlignment="1">
      <alignment/>
    </xf>
    <xf numFmtId="178" fontId="70" fillId="0" borderId="0" xfId="0" applyNumberFormat="1" applyFont="1" applyAlignment="1">
      <alignment/>
    </xf>
    <xf numFmtId="178" fontId="70" fillId="34" borderId="0" xfId="0" applyNumberFormat="1" applyFont="1" applyFill="1" applyAlignment="1">
      <alignment/>
    </xf>
    <xf numFmtId="178" fontId="70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0" borderId="0" xfId="0" applyNumberFormat="1" applyFont="1" applyAlignment="1">
      <alignment/>
    </xf>
    <xf numFmtId="178" fontId="3" fillId="35" borderId="0" xfId="0" applyNumberFormat="1" applyFont="1" applyFill="1" applyAlignment="1">
      <alignment/>
    </xf>
    <xf numFmtId="208" fontId="70" fillId="0" borderId="0" xfId="0" applyNumberFormat="1" applyFont="1" applyAlignment="1">
      <alignment/>
    </xf>
    <xf numFmtId="0" fontId="78" fillId="0" borderId="0" xfId="0" applyFont="1" applyAlignment="1">
      <alignment/>
    </xf>
    <xf numFmtId="206" fontId="70" fillId="35" borderId="0" xfId="0" applyNumberFormat="1" applyFont="1" applyFill="1" applyAlignment="1">
      <alignment/>
    </xf>
    <xf numFmtId="178" fontId="70" fillId="35" borderId="0" xfId="0" applyNumberFormat="1" applyFont="1" applyFill="1" applyAlignment="1">
      <alignment/>
    </xf>
    <xf numFmtId="208" fontId="70" fillId="35" borderId="0" xfId="0" applyNumberFormat="1" applyFont="1" applyFill="1" applyAlignment="1">
      <alignment/>
    </xf>
    <xf numFmtId="0" fontId="70" fillId="35" borderId="0" xfId="0" applyFont="1" applyFill="1" applyAlignment="1">
      <alignment/>
    </xf>
    <xf numFmtId="0" fontId="4" fillId="34" borderId="18" xfId="0" applyFont="1" applyFill="1" applyBorder="1" applyAlignment="1">
      <alignment horizontal="center" vertical="center"/>
    </xf>
    <xf numFmtId="186" fontId="4" fillId="33" borderId="0" xfId="62" applyNumberFormat="1" applyFont="1" applyFill="1" applyBorder="1" applyAlignment="1">
      <alignment horizontal="center" vertical="center" wrapText="1"/>
    </xf>
    <xf numFmtId="44" fontId="3" fillId="0" borderId="0" xfId="0" applyNumberFormat="1" applyFont="1" applyAlignment="1">
      <alignment/>
    </xf>
    <xf numFmtId="206" fontId="3" fillId="34" borderId="0" xfId="0" applyNumberFormat="1" applyFont="1" applyFill="1" applyAlignment="1">
      <alignment/>
    </xf>
    <xf numFmtId="206" fontId="70" fillId="34" borderId="0" xfId="0" applyNumberFormat="1" applyFont="1" applyFill="1" applyAlignment="1">
      <alignment/>
    </xf>
    <xf numFmtId="181" fontId="70" fillId="0" borderId="0" xfId="0" applyNumberFormat="1" applyFont="1" applyAlignment="1">
      <alignment/>
    </xf>
    <xf numFmtId="49" fontId="4" fillId="37" borderId="18" xfId="0" applyNumberFormat="1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/>
    </xf>
    <xf numFmtId="0" fontId="4" fillId="37" borderId="18" xfId="0" applyFont="1" applyFill="1" applyBorder="1" applyAlignment="1">
      <alignment horizontal="justify" vertical="center" wrapText="1"/>
    </xf>
    <xf numFmtId="184" fontId="4" fillId="37" borderId="18" xfId="62" applyNumberFormat="1" applyFont="1" applyFill="1" applyBorder="1" applyAlignment="1">
      <alignment horizontal="center" vertical="center" wrapText="1"/>
    </xf>
    <xf numFmtId="4" fontId="4" fillId="37" borderId="18" xfId="89" applyNumberFormat="1" applyFont="1" applyFill="1" applyBorder="1" applyAlignment="1">
      <alignment horizontal="center"/>
      <protection/>
    </xf>
    <xf numFmtId="44" fontId="4" fillId="37" borderId="18" xfId="62" applyFont="1" applyFill="1" applyBorder="1" applyAlignment="1">
      <alignment horizontal="right"/>
    </xf>
    <xf numFmtId="0" fontId="4" fillId="37" borderId="18" xfId="0" applyFont="1" applyFill="1" applyBorder="1" applyAlignment="1">
      <alignment horizontal="center" vertical="center" wrapText="1"/>
    </xf>
    <xf numFmtId="184" fontId="4" fillId="37" borderId="20" xfId="62" applyNumberFormat="1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right"/>
    </xf>
    <xf numFmtId="0" fontId="23" fillId="35" borderId="18" xfId="0" applyFont="1" applyFill="1" applyBorder="1" applyAlignment="1">
      <alignment horizontal="justify" vertical="center" wrapText="1"/>
    </xf>
    <xf numFmtId="0" fontId="79" fillId="0" borderId="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8" fontId="0" fillId="0" borderId="18" xfId="0" applyNumberFormat="1" applyBorder="1" applyAlignment="1">
      <alignment horizontal="center" vertical="center"/>
    </xf>
    <xf numFmtId="4" fontId="4" fillId="33" borderId="14" xfId="88" applyNumberFormat="1" applyFont="1" applyFill="1" applyBorder="1" applyAlignment="1">
      <alignment horizontal="left" vertical="center"/>
      <protection/>
    </xf>
    <xf numFmtId="4" fontId="4" fillId="33" borderId="0" xfId="88" applyNumberFormat="1" applyFont="1" applyFill="1" applyBorder="1" applyAlignment="1">
      <alignment horizontal="left" vertical="center"/>
      <protection/>
    </xf>
    <xf numFmtId="4" fontId="4" fillId="33" borderId="15" xfId="88" applyNumberFormat="1" applyFont="1" applyFill="1" applyBorder="1" applyAlignment="1">
      <alignment horizontal="left" vertical="center"/>
      <protection/>
    </xf>
    <xf numFmtId="0" fontId="4" fillId="33" borderId="14" xfId="0" applyFont="1" applyFill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left" vertical="center" wrapText="1" readingOrder="1"/>
    </xf>
    <xf numFmtId="0" fontId="4" fillId="33" borderId="15" xfId="0" applyFont="1" applyFill="1" applyBorder="1" applyAlignment="1">
      <alignment horizontal="left" vertical="center" wrapText="1" readingOrder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4" fontId="70" fillId="33" borderId="14" xfId="72" applyNumberFormat="1" applyFont="1" applyFill="1" applyBorder="1" applyAlignment="1">
      <alignment horizontal="left" vertical="center"/>
      <protection/>
    </xf>
    <xf numFmtId="4" fontId="70" fillId="33" borderId="0" xfId="72" applyNumberFormat="1" applyFont="1" applyFill="1" applyBorder="1" applyAlignment="1">
      <alignment horizontal="left" vertical="center"/>
      <protection/>
    </xf>
    <xf numFmtId="4" fontId="70" fillId="33" borderId="15" xfId="72" applyNumberFormat="1" applyFont="1" applyFill="1" applyBorder="1" applyAlignment="1">
      <alignment horizontal="left" vertical="center"/>
      <protection/>
    </xf>
    <xf numFmtId="0" fontId="3" fillId="33" borderId="16" xfId="88" applyFont="1" applyFill="1" applyBorder="1" applyAlignment="1">
      <alignment horizontal="left"/>
      <protection/>
    </xf>
    <xf numFmtId="0" fontId="3" fillId="33" borderId="17" xfId="88" applyFont="1" applyFill="1" applyBorder="1" applyAlignment="1">
      <alignment horizontal="left"/>
      <protection/>
    </xf>
    <xf numFmtId="0" fontId="3" fillId="33" borderId="23" xfId="88" applyFont="1" applyFill="1" applyBorder="1" applyAlignment="1">
      <alignment horizontal="left"/>
      <protection/>
    </xf>
    <xf numFmtId="49" fontId="80" fillId="34" borderId="18" xfId="87" applyNumberFormat="1" applyFont="1" applyFill="1" applyBorder="1" applyAlignment="1">
      <alignment horizontal="center" vertical="center" wrapText="1"/>
      <protection/>
    </xf>
    <xf numFmtId="0" fontId="73" fillId="34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justify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right"/>
    </xf>
    <xf numFmtId="0" fontId="4" fillId="33" borderId="24" xfId="0" applyFont="1" applyFill="1" applyBorder="1" applyAlignment="1">
      <alignment horizontal="right"/>
    </xf>
    <xf numFmtId="0" fontId="4" fillId="33" borderId="25" xfId="0" applyFont="1" applyFill="1" applyBorder="1" applyAlignment="1">
      <alignment horizontal="right"/>
    </xf>
    <xf numFmtId="0" fontId="4" fillId="34" borderId="20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49" fontId="7" fillId="34" borderId="22" xfId="87" applyNumberFormat="1" applyFont="1" applyFill="1" applyBorder="1" applyAlignment="1">
      <alignment horizontal="center" vertical="center" wrapText="1"/>
      <protection/>
    </xf>
    <xf numFmtId="0" fontId="4" fillId="34" borderId="22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justify" wrapText="1"/>
    </xf>
    <xf numFmtId="0" fontId="4" fillId="34" borderId="18" xfId="0" applyFont="1" applyFill="1" applyBorder="1" applyAlignment="1">
      <alignment horizontal="center" vertical="justify" wrapText="1"/>
    </xf>
    <xf numFmtId="4" fontId="4" fillId="34" borderId="22" xfId="0" applyNumberFormat="1" applyFont="1" applyFill="1" applyBorder="1" applyAlignment="1">
      <alignment horizontal="center" vertical="center"/>
    </xf>
    <xf numFmtId="4" fontId="4" fillId="34" borderId="18" xfId="0" applyNumberFormat="1" applyFont="1" applyFill="1" applyBorder="1" applyAlignment="1">
      <alignment horizontal="center" vertical="center"/>
    </xf>
    <xf numFmtId="4" fontId="4" fillId="34" borderId="16" xfId="0" applyNumberFormat="1" applyFont="1" applyFill="1" applyBorder="1" applyAlignment="1">
      <alignment horizontal="center" vertical="center"/>
    </xf>
    <xf numFmtId="4" fontId="4" fillId="34" borderId="17" xfId="0" applyNumberFormat="1" applyFont="1" applyFill="1" applyBorder="1" applyAlignment="1">
      <alignment horizontal="center" vertical="center"/>
    </xf>
    <xf numFmtId="10" fontId="6" fillId="0" borderId="20" xfId="97" applyNumberFormat="1" applyFont="1" applyBorder="1" applyAlignment="1">
      <alignment horizontal="center"/>
    </xf>
    <xf numFmtId="10" fontId="6" fillId="0" borderId="25" xfId="97" applyNumberFormat="1" applyFont="1" applyBorder="1" applyAlignment="1">
      <alignment horizontal="center"/>
    </xf>
    <xf numFmtId="1" fontId="6" fillId="0" borderId="20" xfId="84" applyNumberFormat="1" applyFont="1" applyBorder="1" applyAlignment="1">
      <alignment horizontal="left" vertical="top"/>
      <protection/>
    </xf>
    <xf numFmtId="1" fontId="6" fillId="0" borderId="25" xfId="84" applyNumberFormat="1" applyFont="1" applyBorder="1" applyAlignment="1">
      <alignment horizontal="left" vertical="top"/>
      <protection/>
    </xf>
    <xf numFmtId="39" fontId="6" fillId="0" borderId="20" xfId="84" applyNumberFormat="1" applyFont="1" applyBorder="1" applyAlignment="1">
      <alignment horizontal="center"/>
      <protection/>
    </xf>
    <xf numFmtId="39" fontId="6" fillId="0" borderId="25" xfId="84" applyNumberFormat="1" applyFont="1" applyBorder="1" applyAlignment="1">
      <alignment horizontal="center"/>
      <protection/>
    </xf>
    <xf numFmtId="10" fontId="6" fillId="0" borderId="20" xfId="84" applyNumberFormat="1" applyFont="1" applyBorder="1" applyAlignment="1">
      <alignment horizontal="center"/>
      <protection/>
    </xf>
    <xf numFmtId="0" fontId="6" fillId="0" borderId="25" xfId="84" applyFont="1" applyBorder="1" applyAlignment="1">
      <alignment horizontal="center"/>
      <protection/>
    </xf>
    <xf numFmtId="0" fontId="6" fillId="0" borderId="20" xfId="84" applyFont="1" applyBorder="1" applyAlignment="1">
      <alignment horizontal="left" vertical="top"/>
      <protection/>
    </xf>
    <xf numFmtId="0" fontId="6" fillId="0" borderId="25" xfId="84" applyFont="1" applyBorder="1" applyAlignment="1">
      <alignment horizontal="left" vertical="top"/>
      <protection/>
    </xf>
    <xf numFmtId="0" fontId="7" fillId="0" borderId="20" xfId="84" applyFont="1" applyBorder="1" applyAlignment="1">
      <alignment horizontal="center"/>
      <protection/>
    </xf>
    <xf numFmtId="0" fontId="7" fillId="0" borderId="25" xfId="84" applyFont="1" applyBorder="1" applyAlignment="1">
      <alignment horizontal="center"/>
      <protection/>
    </xf>
    <xf numFmtId="4" fontId="6" fillId="0" borderId="20" xfId="86" applyNumberFormat="1" applyFont="1" applyBorder="1" applyAlignment="1">
      <alignment horizontal="center"/>
      <protection/>
    </xf>
    <xf numFmtId="4" fontId="6" fillId="0" borderId="25" xfId="86" applyNumberFormat="1" applyFont="1" applyBorder="1" applyAlignment="1">
      <alignment horizontal="center"/>
      <protection/>
    </xf>
    <xf numFmtId="0" fontId="6" fillId="0" borderId="18" xfId="85" applyFont="1" applyFill="1" applyBorder="1" applyAlignment="1">
      <alignment horizontal="center" vertical="top"/>
      <protection/>
    </xf>
    <xf numFmtId="4" fontId="18" fillId="0" borderId="14" xfId="88" applyNumberFormat="1" applyFont="1" applyFill="1" applyBorder="1" applyAlignment="1">
      <alignment horizontal="center" vertical="center" wrapText="1"/>
      <protection/>
    </xf>
    <xf numFmtId="4" fontId="18" fillId="0" borderId="0" xfId="88" applyNumberFormat="1" applyFont="1" applyFill="1" applyBorder="1" applyAlignment="1">
      <alignment horizontal="center" vertical="center" wrapText="1"/>
      <protection/>
    </xf>
    <xf numFmtId="4" fontId="18" fillId="0" borderId="16" xfId="88" applyNumberFormat="1" applyFont="1" applyFill="1" applyBorder="1" applyAlignment="1">
      <alignment horizontal="center" vertical="center" wrapText="1"/>
      <protection/>
    </xf>
    <xf numFmtId="4" fontId="18" fillId="0" borderId="17" xfId="88" applyNumberFormat="1" applyFont="1" applyFill="1" applyBorder="1" applyAlignment="1">
      <alignment horizontal="center" vertical="center" wrapText="1"/>
      <protection/>
    </xf>
    <xf numFmtId="0" fontId="6" fillId="0" borderId="20" xfId="88" applyFont="1" applyFill="1" applyBorder="1" applyAlignment="1">
      <alignment horizontal="center" vertical="center" wrapText="1"/>
      <protection/>
    </xf>
    <xf numFmtId="0" fontId="6" fillId="0" borderId="24" xfId="88" applyFont="1" applyFill="1" applyBorder="1" applyAlignment="1">
      <alignment horizontal="center" vertical="center" wrapText="1"/>
      <protection/>
    </xf>
    <xf numFmtId="0" fontId="6" fillId="0" borderId="25" xfId="88" applyFont="1" applyFill="1" applyBorder="1" applyAlignment="1">
      <alignment horizontal="center" vertical="center" wrapText="1"/>
      <protection/>
    </xf>
    <xf numFmtId="0" fontId="7" fillId="0" borderId="19" xfId="84" applyFont="1" applyBorder="1" applyAlignment="1">
      <alignment horizontal="center" wrapText="1"/>
      <protection/>
    </xf>
    <xf numFmtId="0" fontId="7" fillId="0" borderId="21" xfId="84" applyFont="1" applyBorder="1" applyAlignment="1">
      <alignment horizontal="center" wrapText="1"/>
      <protection/>
    </xf>
    <xf numFmtId="0" fontId="7" fillId="0" borderId="22" xfId="84" applyFont="1" applyBorder="1" applyAlignment="1">
      <alignment horizontal="center" wrapText="1"/>
      <protection/>
    </xf>
    <xf numFmtId="0" fontId="7" fillId="0" borderId="24" xfId="84" applyFont="1" applyBorder="1" applyAlignment="1">
      <alignment horizontal="center"/>
      <protection/>
    </xf>
    <xf numFmtId="44" fontId="6" fillId="0" borderId="11" xfId="72" applyNumberFormat="1" applyFont="1" applyBorder="1" applyAlignment="1">
      <alignment horizontal="center" vertical="center" wrapText="1" readingOrder="1"/>
      <protection/>
    </xf>
    <xf numFmtId="44" fontId="6" fillId="0" borderId="12" xfId="72" applyNumberFormat="1" applyFont="1" applyBorder="1" applyAlignment="1">
      <alignment horizontal="center" vertical="center" wrapText="1" readingOrder="1"/>
      <protection/>
    </xf>
    <xf numFmtId="44" fontId="6" fillId="0" borderId="14" xfId="72" applyNumberFormat="1" applyFont="1" applyBorder="1" applyAlignment="1">
      <alignment horizontal="center" vertical="center" wrapText="1" readingOrder="1"/>
      <protection/>
    </xf>
    <xf numFmtId="44" fontId="6" fillId="0" borderId="0" xfId="72" applyNumberFormat="1" applyFont="1" applyBorder="1" applyAlignment="1">
      <alignment horizontal="center" vertical="center" wrapText="1" readingOrder="1"/>
      <protection/>
    </xf>
    <xf numFmtId="4" fontId="18" fillId="0" borderId="14" xfId="72" applyNumberFormat="1" applyFont="1" applyFill="1" applyBorder="1" applyAlignment="1">
      <alignment horizontal="center" vertical="center" wrapText="1" readingOrder="1"/>
      <protection/>
    </xf>
    <xf numFmtId="4" fontId="18" fillId="0" borderId="0" xfId="72" applyNumberFormat="1" applyFont="1" applyFill="1" applyBorder="1" applyAlignment="1">
      <alignment horizontal="center" vertical="center" wrapText="1" readingOrder="1"/>
      <protection/>
    </xf>
    <xf numFmtId="0" fontId="18" fillId="0" borderId="14" xfId="88" applyFont="1" applyFill="1" applyBorder="1" applyAlignment="1">
      <alignment horizontal="center"/>
      <protection/>
    </xf>
    <xf numFmtId="0" fontId="18" fillId="0" borderId="0" xfId="88" applyFont="1" applyFill="1" applyBorder="1" applyAlignment="1">
      <alignment horizontal="center"/>
      <protection/>
    </xf>
    <xf numFmtId="4" fontId="18" fillId="0" borderId="14" xfId="72" applyNumberFormat="1" applyFont="1" applyFill="1" applyBorder="1" applyAlignment="1">
      <alignment horizontal="center" vertical="center" wrapText="1"/>
      <protection/>
    </xf>
    <xf numFmtId="4" fontId="18" fillId="0" borderId="0" xfId="72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Incorreto" xfId="61"/>
    <cellStyle name="Currency" xfId="62"/>
    <cellStyle name="Currency [0]" xfId="63"/>
    <cellStyle name="Moeda 2" xfId="64"/>
    <cellStyle name="Moeda 3" xfId="65"/>
    <cellStyle name="Neutra" xfId="66"/>
    <cellStyle name="Normal 10" xfId="67"/>
    <cellStyle name="Normal 11" xfId="68"/>
    <cellStyle name="Normal 2" xfId="69"/>
    <cellStyle name="Normal 2 2" xfId="70"/>
    <cellStyle name="Normal 2 2 2" xfId="71"/>
    <cellStyle name="Normal 2 3" xfId="72"/>
    <cellStyle name="Normal 3" xfId="73"/>
    <cellStyle name="Normal 3 2" xfId="74"/>
    <cellStyle name="Normal 4" xfId="75"/>
    <cellStyle name="Normal 5" xfId="76"/>
    <cellStyle name="Normal 5 2" xfId="77"/>
    <cellStyle name="Normal 6" xfId="78"/>
    <cellStyle name="Normal 7" xfId="79"/>
    <cellStyle name="Normal 8" xfId="80"/>
    <cellStyle name="Normal 8 2" xfId="81"/>
    <cellStyle name="Normal 9" xfId="82"/>
    <cellStyle name="Normal 9 2" xfId="83"/>
    <cellStyle name="Normal_CRONOGRAMA" xfId="84"/>
    <cellStyle name="Normal_CRUZEI~1" xfId="85"/>
    <cellStyle name="Normal_Orçamento nº057-2003- Esc. Munic. AMPARO revisão" xfId="86"/>
    <cellStyle name="Normal_P_Getulio Vargas" xfId="87"/>
    <cellStyle name="Normal_P_Getulio Vargas 2" xfId="88"/>
    <cellStyle name="Normal_RUAS 3,4,7 e 8 R-1 2" xfId="89"/>
    <cellStyle name="Nota" xfId="90"/>
    <cellStyle name="Nota 2" xfId="91"/>
    <cellStyle name="Nota 3" xfId="92"/>
    <cellStyle name="Nota 4" xfId="93"/>
    <cellStyle name="Percentual" xfId="94"/>
    <cellStyle name="Ponto" xfId="95"/>
    <cellStyle name="Percent" xfId="96"/>
    <cellStyle name="Porcentagem 2" xfId="97"/>
    <cellStyle name="Porcentagem 3" xfId="98"/>
    <cellStyle name="Saída" xfId="99"/>
    <cellStyle name="Comma [0]" xfId="100"/>
    <cellStyle name="Separador de milhares 15" xfId="101"/>
    <cellStyle name="Separador de milhares 2" xfId="102"/>
    <cellStyle name="TableStyleLight1" xfId="103"/>
    <cellStyle name="Texto de Aviso" xfId="104"/>
    <cellStyle name="Texto Explicativo" xfId="105"/>
    <cellStyle name="Título" xfId="106"/>
    <cellStyle name="Título 1" xfId="107"/>
    <cellStyle name="Título 1 1" xfId="108"/>
    <cellStyle name="Título 1 1 1" xfId="109"/>
    <cellStyle name="Título 1 1_PLAN   (2)" xfId="110"/>
    <cellStyle name="Título 2" xfId="111"/>
    <cellStyle name="Título 3" xfId="112"/>
    <cellStyle name="Título 4" xfId="113"/>
    <cellStyle name="Titulo1" xfId="114"/>
    <cellStyle name="Titulo2" xfId="115"/>
    <cellStyle name="Total" xfId="116"/>
    <cellStyle name="Comma" xfId="117"/>
    <cellStyle name="Vírgula 2" xfId="118"/>
    <cellStyle name="Vírgula 2 2" xfId="119"/>
    <cellStyle name="Vírgula 3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200025</xdr:rowOff>
    </xdr:from>
    <xdr:to>
      <xdr:col>1</xdr:col>
      <xdr:colOff>1209675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657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200025</xdr:rowOff>
    </xdr:from>
    <xdr:to>
      <xdr:col>1</xdr:col>
      <xdr:colOff>1209675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00025"/>
          <a:ext cx="1657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38100</xdr:colOff>
      <xdr:row>2</xdr:row>
      <xdr:rowOff>171450</xdr:rowOff>
    </xdr:from>
    <xdr:to>
      <xdr:col>14</xdr:col>
      <xdr:colOff>1752600</xdr:colOff>
      <xdr:row>7</xdr:row>
      <xdr:rowOff>238125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27050" y="1181100"/>
          <a:ext cx="17145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alfredo.cunha\Desktop\Revis&#227;o%20JAN-18_Or&#231;amento%20ATI%20Vila%20Br&#237;gida%20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view="pageBreakPreview" zoomScale="60" zoomScalePageLayoutView="0" workbookViewId="0" topLeftCell="A1">
      <selection activeCell="Q9" sqref="Q9"/>
    </sheetView>
  </sheetViews>
  <sheetFormatPr defaultColWidth="9.140625" defaultRowHeight="15"/>
  <cols>
    <col min="1" max="1" width="4.7109375" style="0" customWidth="1"/>
    <col min="2" max="2" width="19.8515625" style="0" bestFit="1" customWidth="1"/>
    <col min="3" max="3" width="77.8515625" style="0" bestFit="1" customWidth="1"/>
    <col min="4" max="4" width="15.57421875" style="0" bestFit="1" customWidth="1"/>
    <col min="5" max="5" width="26.28125" style="0" bestFit="1" customWidth="1"/>
    <col min="6" max="7" width="19.8515625" style="0" bestFit="1" customWidth="1"/>
  </cols>
  <sheetData>
    <row r="1" spans="1:7" ht="21">
      <c r="A1" s="351" t="s">
        <v>711</v>
      </c>
      <c r="B1" s="351"/>
      <c r="C1" s="351"/>
      <c r="D1" s="351"/>
      <c r="E1" s="351"/>
      <c r="F1" s="351"/>
      <c r="G1" s="351"/>
    </row>
    <row r="3" spans="1:7" ht="15">
      <c r="A3" s="355" t="s">
        <v>633</v>
      </c>
      <c r="B3" s="355"/>
      <c r="C3" s="223" t="s">
        <v>634</v>
      </c>
      <c r="D3" s="223" t="s">
        <v>635</v>
      </c>
      <c r="E3" s="223" t="s">
        <v>636</v>
      </c>
      <c r="F3" s="355" t="s">
        <v>637</v>
      </c>
      <c r="G3" s="355"/>
    </row>
    <row r="4" spans="1:7" ht="50.25" customHeight="1">
      <c r="A4" s="355" t="s">
        <v>169</v>
      </c>
      <c r="B4" s="355"/>
      <c r="C4" s="224" t="s">
        <v>645</v>
      </c>
      <c r="D4" s="223" t="s">
        <v>635</v>
      </c>
      <c r="E4" s="225">
        <v>43282</v>
      </c>
      <c r="F4" s="356">
        <f>G9</f>
        <v>590.95</v>
      </c>
      <c r="G4" s="355"/>
    </row>
    <row r="5" spans="1:7" ht="22.5" customHeight="1">
      <c r="A5" s="223"/>
      <c r="B5" s="223" t="s">
        <v>638</v>
      </c>
      <c r="C5" s="223" t="s">
        <v>639</v>
      </c>
      <c r="D5" s="223" t="s">
        <v>640</v>
      </c>
      <c r="E5" s="223" t="s">
        <v>641</v>
      </c>
      <c r="F5" s="223" t="s">
        <v>642</v>
      </c>
      <c r="G5" s="223" t="s">
        <v>643</v>
      </c>
    </row>
    <row r="6" spans="1:7" ht="22.5" customHeight="1">
      <c r="A6" s="223"/>
      <c r="B6" s="223" t="s">
        <v>646</v>
      </c>
      <c r="C6" s="223" t="s">
        <v>647</v>
      </c>
      <c r="D6" s="223" t="s">
        <v>648</v>
      </c>
      <c r="E6" s="223" t="s">
        <v>649</v>
      </c>
      <c r="F6" s="226">
        <v>43509</v>
      </c>
      <c r="G6" s="62">
        <v>590.95</v>
      </c>
    </row>
    <row r="7" spans="1:7" ht="22.5" customHeight="1">
      <c r="A7" s="223"/>
      <c r="B7" s="223" t="s">
        <v>650</v>
      </c>
      <c r="C7" s="223" t="s">
        <v>651</v>
      </c>
      <c r="D7" s="223" t="s">
        <v>652</v>
      </c>
      <c r="E7" s="223" t="s">
        <v>649</v>
      </c>
      <c r="F7" s="226">
        <v>43509</v>
      </c>
      <c r="G7" s="227">
        <v>332</v>
      </c>
    </row>
    <row r="8" spans="1:7" ht="22.5" customHeight="1">
      <c r="A8" s="223"/>
      <c r="B8" s="223" t="s">
        <v>653</v>
      </c>
      <c r="C8" s="223" t="s">
        <v>654</v>
      </c>
      <c r="D8" s="223" t="s">
        <v>655</v>
      </c>
      <c r="E8" s="223" t="s">
        <v>649</v>
      </c>
      <c r="F8" s="226">
        <v>43509</v>
      </c>
      <c r="G8" s="227">
        <v>599</v>
      </c>
    </row>
    <row r="9" spans="1:7" ht="22.5" customHeight="1">
      <c r="A9" s="352"/>
      <c r="B9" s="353"/>
      <c r="C9" s="353"/>
      <c r="D9" s="354"/>
      <c r="E9" s="223" t="s">
        <v>644</v>
      </c>
      <c r="F9" s="223"/>
      <c r="G9" s="228">
        <f>MEDIAN(G6:G8)</f>
        <v>590.95</v>
      </c>
    </row>
    <row r="10" spans="1:7" ht="50.25" customHeight="1">
      <c r="A10" s="355" t="s">
        <v>107</v>
      </c>
      <c r="B10" s="355"/>
      <c r="C10" s="224" t="s">
        <v>656</v>
      </c>
      <c r="D10" s="223" t="s">
        <v>635</v>
      </c>
      <c r="E10" s="225">
        <v>43282</v>
      </c>
      <c r="F10" s="356">
        <f>G15</f>
        <v>681.99</v>
      </c>
      <c r="G10" s="355"/>
    </row>
    <row r="11" spans="1:7" ht="22.5" customHeight="1">
      <c r="A11" s="223"/>
      <c r="B11" s="223" t="s">
        <v>638</v>
      </c>
      <c r="C11" s="223" t="s">
        <v>639</v>
      </c>
      <c r="D11" s="223" t="s">
        <v>640</v>
      </c>
      <c r="E11" s="223" t="s">
        <v>641</v>
      </c>
      <c r="F11" s="223" t="s">
        <v>642</v>
      </c>
      <c r="G11" s="223" t="s">
        <v>643</v>
      </c>
    </row>
    <row r="12" spans="1:10" ht="22.5" customHeight="1">
      <c r="A12" s="223"/>
      <c r="B12" s="223" t="s">
        <v>646</v>
      </c>
      <c r="C12" s="223" t="s">
        <v>647</v>
      </c>
      <c r="D12" s="223" t="s">
        <v>648</v>
      </c>
      <c r="E12" s="223" t="s">
        <v>649</v>
      </c>
      <c r="F12" s="226">
        <v>43509</v>
      </c>
      <c r="G12" s="229">
        <v>681.99</v>
      </c>
      <c r="I12">
        <f>H12+606.59</f>
        <v>606.59</v>
      </c>
      <c r="J12">
        <f>I12/25</f>
        <v>24.2636</v>
      </c>
    </row>
    <row r="13" spans="1:7" ht="22.5" customHeight="1">
      <c r="A13" s="223"/>
      <c r="B13" s="223" t="s">
        <v>650</v>
      </c>
      <c r="C13" s="223" t="s">
        <v>651</v>
      </c>
      <c r="D13" s="223" t="s">
        <v>652</v>
      </c>
      <c r="E13" s="223" t="s">
        <v>649</v>
      </c>
      <c r="F13" s="226">
        <v>43509</v>
      </c>
      <c r="G13" s="227">
        <v>432.25</v>
      </c>
    </row>
    <row r="14" spans="1:7" ht="22.5" customHeight="1">
      <c r="A14" s="223"/>
      <c r="B14" s="223" t="s">
        <v>653</v>
      </c>
      <c r="C14" s="223" t="s">
        <v>654</v>
      </c>
      <c r="D14" s="223" t="s">
        <v>655</v>
      </c>
      <c r="E14" s="223" t="s">
        <v>649</v>
      </c>
      <c r="F14" s="226">
        <v>43509</v>
      </c>
      <c r="G14" s="227">
        <v>1024.9</v>
      </c>
    </row>
    <row r="15" spans="1:7" ht="22.5" customHeight="1">
      <c r="A15" s="352"/>
      <c r="B15" s="353"/>
      <c r="C15" s="353"/>
      <c r="D15" s="354"/>
      <c r="E15" s="223" t="s">
        <v>644</v>
      </c>
      <c r="F15" s="223"/>
      <c r="G15" s="228">
        <f>MEDIAN(G12:G14)</f>
        <v>681.99</v>
      </c>
    </row>
  </sheetData>
  <sheetProtection/>
  <mergeCells count="9">
    <mergeCell ref="A1:G1"/>
    <mergeCell ref="A9:D9"/>
    <mergeCell ref="A15:D15"/>
    <mergeCell ref="A3:B3"/>
    <mergeCell ref="F3:G3"/>
    <mergeCell ref="A4:B4"/>
    <mergeCell ref="F4:G4"/>
    <mergeCell ref="A10:B10"/>
    <mergeCell ref="F10:G1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4" r:id="rId1"/>
  <headerFooter>
    <oddFooter>&amp;L&amp;A&amp;CPágina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12"/>
  <sheetViews>
    <sheetView tabSelected="1" view="pageBreakPreview" zoomScale="70" zoomScaleNormal="80" zoomScaleSheetLayoutView="70" zoomScalePageLayoutView="0" workbookViewId="0" topLeftCell="A686">
      <selection activeCell="E686" sqref="E1:H16384"/>
    </sheetView>
  </sheetViews>
  <sheetFormatPr defaultColWidth="9.140625" defaultRowHeight="15"/>
  <cols>
    <col min="1" max="1" width="9.140625" style="1" customWidth="1"/>
    <col min="2" max="2" width="18.140625" style="1" customWidth="1"/>
    <col min="3" max="3" width="92.00390625" style="1" customWidth="1"/>
    <col min="4" max="4" width="9.140625" style="1" customWidth="1"/>
    <col min="5" max="5" width="20.57421875" style="1" customWidth="1"/>
    <col min="6" max="6" width="18.8515625" style="1" customWidth="1"/>
    <col min="7" max="7" width="22.00390625" style="1" customWidth="1"/>
    <col min="8" max="8" width="16.421875" style="1" bestFit="1" customWidth="1"/>
    <col min="9" max="9" width="9.140625" style="1" customWidth="1"/>
    <col min="10" max="10" width="10.57421875" style="1" bestFit="1" customWidth="1"/>
    <col min="11" max="11" width="12.421875" style="1" customWidth="1"/>
    <col min="12" max="16384" width="9.140625" style="1" customWidth="1"/>
  </cols>
  <sheetData>
    <row r="1" spans="1:8" ht="15.75">
      <c r="A1" s="2"/>
      <c r="B1" s="3"/>
      <c r="C1" s="4" t="s">
        <v>25</v>
      </c>
      <c r="D1" s="5"/>
      <c r="E1" s="6"/>
      <c r="F1" s="7"/>
      <c r="G1" s="8"/>
      <c r="H1" s="9"/>
    </row>
    <row r="2" spans="1:8" ht="15.75">
      <c r="A2" s="10"/>
      <c r="B2" s="11"/>
      <c r="C2" s="12" t="s">
        <v>26</v>
      </c>
      <c r="D2" s="13"/>
      <c r="E2" s="14"/>
      <c r="F2" s="15"/>
      <c r="G2" s="16"/>
      <c r="H2" s="9"/>
    </row>
    <row r="3" spans="1:8" ht="15.75">
      <c r="A3" s="10"/>
      <c r="B3" s="11"/>
      <c r="C3" s="12" t="s">
        <v>27</v>
      </c>
      <c r="D3" s="357" t="s">
        <v>712</v>
      </c>
      <c r="E3" s="358"/>
      <c r="F3" s="358"/>
      <c r="G3" s="359"/>
      <c r="H3" s="9"/>
    </row>
    <row r="4" spans="1:8" ht="15.75">
      <c r="A4" s="10"/>
      <c r="B4" s="11"/>
      <c r="C4" s="17" t="s">
        <v>28</v>
      </c>
      <c r="D4" s="360" t="s">
        <v>888</v>
      </c>
      <c r="E4" s="361"/>
      <c r="F4" s="361"/>
      <c r="G4" s="362"/>
      <c r="H4" s="9"/>
    </row>
    <row r="5" spans="1:8" ht="15.75">
      <c r="A5" s="10"/>
      <c r="B5" s="11"/>
      <c r="C5" s="17" t="s">
        <v>29</v>
      </c>
      <c r="D5" s="363" t="s">
        <v>339</v>
      </c>
      <c r="E5" s="364"/>
      <c r="F5" s="364"/>
      <c r="G5" s="365"/>
      <c r="H5" s="9"/>
    </row>
    <row r="6" spans="1:8" ht="15.75">
      <c r="A6" s="10"/>
      <c r="B6" s="11"/>
      <c r="C6" s="18" t="s">
        <v>798</v>
      </c>
      <c r="D6" s="366" t="s">
        <v>340</v>
      </c>
      <c r="E6" s="367"/>
      <c r="F6" s="367"/>
      <c r="G6" s="368"/>
      <c r="H6" s="9"/>
    </row>
    <row r="7" spans="1:8" ht="15.75">
      <c r="A7" s="10"/>
      <c r="B7" s="11"/>
      <c r="C7" s="222" t="s">
        <v>274</v>
      </c>
      <c r="D7" s="366" t="s">
        <v>30</v>
      </c>
      <c r="E7" s="367"/>
      <c r="F7" s="367"/>
      <c r="G7" s="368"/>
      <c r="H7" s="9"/>
    </row>
    <row r="8" spans="1:8" ht="15.75">
      <c r="A8" s="19"/>
      <c r="B8" s="20"/>
      <c r="C8" s="21"/>
      <c r="D8" s="369" t="s">
        <v>119</v>
      </c>
      <c r="E8" s="370"/>
      <c r="F8" s="370"/>
      <c r="G8" s="371"/>
      <c r="H8" s="9"/>
    </row>
    <row r="9" spans="1:8" s="151" customFormat="1" ht="18">
      <c r="A9" s="372" t="s">
        <v>632</v>
      </c>
      <c r="B9" s="373"/>
      <c r="C9" s="373"/>
      <c r="D9" s="373"/>
      <c r="E9" s="373"/>
      <c r="F9" s="373"/>
      <c r="G9" s="373"/>
      <c r="H9" s="150"/>
    </row>
    <row r="10" spans="1:8" ht="15.75">
      <c r="A10" s="374" t="s">
        <v>31</v>
      </c>
      <c r="B10" s="375" t="s">
        <v>32</v>
      </c>
      <c r="C10" s="375" t="s">
        <v>33</v>
      </c>
      <c r="D10" s="374" t="s">
        <v>9</v>
      </c>
      <c r="E10" s="376" t="s">
        <v>34</v>
      </c>
      <c r="F10" s="376" t="s">
        <v>35</v>
      </c>
      <c r="G10" s="376"/>
      <c r="H10" s="9"/>
    </row>
    <row r="11" spans="1:8" ht="15.75">
      <c r="A11" s="374"/>
      <c r="B11" s="375"/>
      <c r="C11" s="375"/>
      <c r="D11" s="374"/>
      <c r="E11" s="376"/>
      <c r="F11" s="22" t="s">
        <v>36</v>
      </c>
      <c r="G11" s="23" t="s">
        <v>6</v>
      </c>
      <c r="H11" s="9"/>
    </row>
    <row r="12" spans="1:8" ht="15.75">
      <c r="A12" s="22" t="s">
        <v>37</v>
      </c>
      <c r="B12" s="22"/>
      <c r="C12" s="152" t="s">
        <v>38</v>
      </c>
      <c r="D12" s="153"/>
      <c r="E12" s="154"/>
      <c r="F12" s="22"/>
      <c r="G12" s="23"/>
      <c r="H12" s="9"/>
    </row>
    <row r="13" spans="1:9" ht="30">
      <c r="A13" s="155" t="s">
        <v>39</v>
      </c>
      <c r="B13" s="156" t="s">
        <v>799</v>
      </c>
      <c r="C13" s="27" t="s">
        <v>40</v>
      </c>
      <c r="D13" s="28" t="s">
        <v>0</v>
      </c>
      <c r="E13" s="157">
        <v>12</v>
      </c>
      <c r="F13" s="29">
        <v>362.92</v>
      </c>
      <c r="G13" s="30">
        <f>TRUNC((E13*F13),2)</f>
        <v>4355.04</v>
      </c>
      <c r="H13" s="9">
        <f>TRUNC((F13*1.2338),2)</f>
        <v>447.77</v>
      </c>
      <c r="I13" s="1" t="s">
        <v>358</v>
      </c>
    </row>
    <row r="14" spans="1:8" ht="15">
      <c r="A14" s="158" t="s">
        <v>41</v>
      </c>
      <c r="B14" s="159" t="s">
        <v>758</v>
      </c>
      <c r="C14" s="31" t="s">
        <v>359</v>
      </c>
      <c r="D14" s="32" t="s">
        <v>0</v>
      </c>
      <c r="E14" s="160">
        <v>1</v>
      </c>
      <c r="F14" s="33">
        <v>444.47</v>
      </c>
      <c r="G14" s="34">
        <f aca="true" t="shared" si="0" ref="G14:G21">TRUNC(E14*F14,2)</f>
        <v>444.47</v>
      </c>
      <c r="H14" s="9"/>
    </row>
    <row r="15" spans="1:8" ht="15">
      <c r="A15" s="158"/>
      <c r="B15" s="159" t="s">
        <v>759</v>
      </c>
      <c r="C15" s="31" t="s">
        <v>127</v>
      </c>
      <c r="D15" s="32" t="s">
        <v>17</v>
      </c>
      <c r="E15" s="160">
        <v>0.11</v>
      </c>
      <c r="F15" s="33">
        <v>10.16</v>
      </c>
      <c r="G15" s="34">
        <f t="shared" si="0"/>
        <v>1.11</v>
      </c>
      <c r="H15" s="9"/>
    </row>
    <row r="16" spans="1:8" ht="30">
      <c r="A16" s="158"/>
      <c r="B16" s="159" t="s">
        <v>760</v>
      </c>
      <c r="C16" s="31" t="s">
        <v>360</v>
      </c>
      <c r="D16" s="32" t="s">
        <v>0</v>
      </c>
      <c r="E16" s="160">
        <v>1</v>
      </c>
      <c r="F16" s="33">
        <v>360</v>
      </c>
      <c r="G16" s="34">
        <f t="shared" si="0"/>
        <v>360</v>
      </c>
      <c r="H16" s="9"/>
    </row>
    <row r="17" spans="1:8" ht="30">
      <c r="A17" s="158"/>
      <c r="B17" s="159" t="s">
        <v>761</v>
      </c>
      <c r="C17" s="31" t="s">
        <v>755</v>
      </c>
      <c r="D17" s="32" t="s">
        <v>10</v>
      </c>
      <c r="E17" s="160">
        <v>4</v>
      </c>
      <c r="F17" s="33">
        <v>4.17</v>
      </c>
      <c r="G17" s="34">
        <f t="shared" si="0"/>
        <v>16.68</v>
      </c>
      <c r="H17" s="9"/>
    </row>
    <row r="18" spans="1:8" ht="30">
      <c r="A18" s="158"/>
      <c r="B18" s="159" t="s">
        <v>762</v>
      </c>
      <c r="C18" s="31" t="s">
        <v>361</v>
      </c>
      <c r="D18" s="32" t="s">
        <v>10</v>
      </c>
      <c r="E18" s="160">
        <v>1</v>
      </c>
      <c r="F18" s="33">
        <v>4.26</v>
      </c>
      <c r="G18" s="34">
        <f t="shared" si="0"/>
        <v>4.26</v>
      </c>
      <c r="H18" s="9"/>
    </row>
    <row r="19" spans="1:8" ht="15">
      <c r="A19" s="158"/>
      <c r="B19" s="159" t="s">
        <v>1</v>
      </c>
      <c r="C19" s="31" t="s">
        <v>2</v>
      </c>
      <c r="D19" s="32" t="s">
        <v>3</v>
      </c>
      <c r="E19" s="160">
        <v>2</v>
      </c>
      <c r="F19" s="33">
        <f>TRUNC(21.24,2)</f>
        <v>21.24</v>
      </c>
      <c r="G19" s="34">
        <f t="shared" si="0"/>
        <v>42.48</v>
      </c>
      <c r="H19" s="9"/>
    </row>
    <row r="20" spans="1:8" ht="15">
      <c r="A20" s="158"/>
      <c r="B20" s="159" t="s">
        <v>763</v>
      </c>
      <c r="C20" s="31" t="s">
        <v>12</v>
      </c>
      <c r="D20" s="32" t="s">
        <v>3</v>
      </c>
      <c r="E20" s="160">
        <v>1</v>
      </c>
      <c r="F20" s="33">
        <f>TRUNC(26.56,2)</f>
        <v>26.56</v>
      </c>
      <c r="G20" s="34">
        <f t="shared" si="0"/>
        <v>26.56</v>
      </c>
      <c r="H20" s="9"/>
    </row>
    <row r="21" spans="1:8" ht="30">
      <c r="A21" s="158"/>
      <c r="B21" s="159" t="s">
        <v>764</v>
      </c>
      <c r="C21" s="31" t="s">
        <v>787</v>
      </c>
      <c r="D21" s="32" t="s">
        <v>11</v>
      </c>
      <c r="E21" s="160">
        <v>0.01</v>
      </c>
      <c r="F21" s="33">
        <f>TRUNC(255.22047,2)</f>
        <v>255.22</v>
      </c>
      <c r="G21" s="34">
        <f t="shared" si="0"/>
        <v>2.55</v>
      </c>
      <c r="H21" s="9"/>
    </row>
    <row r="22" spans="1:8" ht="15">
      <c r="A22" s="158"/>
      <c r="B22" s="159"/>
      <c r="C22" s="31"/>
      <c r="D22" s="32"/>
      <c r="E22" s="160" t="s">
        <v>6</v>
      </c>
      <c r="F22" s="33"/>
      <c r="G22" s="34">
        <f>TRUNC(SUM(G15:G21),2)</f>
        <v>453.64</v>
      </c>
      <c r="H22" s="9"/>
    </row>
    <row r="23" spans="1:8" ht="45">
      <c r="A23" s="158"/>
      <c r="B23" s="159" t="s">
        <v>362</v>
      </c>
      <c r="C23" s="31" t="s">
        <v>363</v>
      </c>
      <c r="D23" s="32" t="s">
        <v>0</v>
      </c>
      <c r="E23" s="160"/>
      <c r="F23" s="33">
        <f>TRUNC(337.9797,2)</f>
        <v>337.97</v>
      </c>
      <c r="G23" s="34"/>
      <c r="H23" s="9"/>
    </row>
    <row r="24" spans="1:8" ht="30">
      <c r="A24" s="161" t="s">
        <v>42</v>
      </c>
      <c r="B24" s="162" t="s">
        <v>128</v>
      </c>
      <c r="C24" s="66" t="s">
        <v>129</v>
      </c>
      <c r="D24" s="67" t="s">
        <v>0</v>
      </c>
      <c r="E24" s="163">
        <v>8786.9</v>
      </c>
      <c r="F24" s="97">
        <f>F25</f>
        <v>0.15</v>
      </c>
      <c r="G24" s="70">
        <f>TRUNC((E24*F24),2)</f>
        <v>1318.03</v>
      </c>
      <c r="H24" s="9">
        <f>TRUNC((F24*1.2338),2)</f>
        <v>0.18</v>
      </c>
    </row>
    <row r="25" spans="1:7" ht="30">
      <c r="A25" s="164" t="s">
        <v>41</v>
      </c>
      <c r="B25" s="165" t="s">
        <v>128</v>
      </c>
      <c r="C25" s="166" t="s">
        <v>129</v>
      </c>
      <c r="D25" s="165" t="s">
        <v>0</v>
      </c>
      <c r="E25" s="165">
        <v>1</v>
      </c>
      <c r="F25" s="167">
        <f>G28</f>
        <v>0.15</v>
      </c>
      <c r="G25" s="168">
        <f>TRUNC(E25*F25,2)</f>
        <v>0.15</v>
      </c>
    </row>
    <row r="26" spans="1:7" ht="15">
      <c r="A26" s="169"/>
      <c r="B26" s="88" t="s">
        <v>1</v>
      </c>
      <c r="C26" s="170" t="s">
        <v>2</v>
      </c>
      <c r="D26" s="88" t="s">
        <v>3</v>
      </c>
      <c r="E26" s="88">
        <v>0.003</v>
      </c>
      <c r="F26" s="171">
        <f>TRUNC(21.24,2)</f>
        <v>21.24</v>
      </c>
      <c r="G26" s="172">
        <f>TRUNC(E26*F26,2)</f>
        <v>0.06</v>
      </c>
    </row>
    <row r="27" spans="1:7" ht="30">
      <c r="A27" s="169"/>
      <c r="B27" s="88" t="s">
        <v>364</v>
      </c>
      <c r="C27" s="170" t="s">
        <v>756</v>
      </c>
      <c r="D27" s="88" t="s">
        <v>5</v>
      </c>
      <c r="E27" s="88">
        <v>0.00056</v>
      </c>
      <c r="F27" s="171">
        <f>TRUNC(164.06,2)</f>
        <v>164.06</v>
      </c>
      <c r="G27" s="172">
        <f>TRUNC(E27*F27,2)</f>
        <v>0.09</v>
      </c>
    </row>
    <row r="28" spans="1:7" ht="15">
      <c r="A28" s="173"/>
      <c r="B28" s="99"/>
      <c r="C28" s="174"/>
      <c r="D28" s="99"/>
      <c r="E28" s="99" t="s">
        <v>6</v>
      </c>
      <c r="F28" s="175"/>
      <c r="G28" s="176">
        <f>TRUNC(SUM(G26:G27),2)</f>
        <v>0.15</v>
      </c>
    </row>
    <row r="29" spans="1:8" ht="30">
      <c r="A29" s="177" t="s">
        <v>43</v>
      </c>
      <c r="B29" s="178" t="s">
        <v>765</v>
      </c>
      <c r="C29" s="77" t="s">
        <v>44</v>
      </c>
      <c r="D29" s="76" t="s">
        <v>59</v>
      </c>
      <c r="E29" s="179">
        <v>231.99</v>
      </c>
      <c r="F29" s="102">
        <v>5.94</v>
      </c>
      <c r="G29" s="80">
        <f>TRUNC((E29*F29),2)</f>
        <v>1378.02</v>
      </c>
      <c r="H29" s="9">
        <f>TRUNC((F29*1.2338),2)</f>
        <v>7.32</v>
      </c>
    </row>
    <row r="30" spans="1:8" ht="30">
      <c r="A30" s="158" t="s">
        <v>41</v>
      </c>
      <c r="B30" s="159" t="s">
        <v>365</v>
      </c>
      <c r="C30" s="31" t="s">
        <v>44</v>
      </c>
      <c r="D30" s="32" t="s">
        <v>11</v>
      </c>
      <c r="E30" s="160">
        <v>1</v>
      </c>
      <c r="F30" s="33">
        <f>G33</f>
        <v>5.95</v>
      </c>
      <c r="G30" s="34">
        <f>TRUNC(E30*F30,2)</f>
        <v>5.95</v>
      </c>
      <c r="H30" s="9"/>
    </row>
    <row r="31" spans="1:8" ht="15">
      <c r="A31" s="158"/>
      <c r="B31" s="159" t="s">
        <v>1</v>
      </c>
      <c r="C31" s="31" t="s">
        <v>2</v>
      </c>
      <c r="D31" s="32" t="s">
        <v>3</v>
      </c>
      <c r="E31" s="160">
        <v>0.25</v>
      </c>
      <c r="F31" s="33">
        <f>TRUNC(21.24,2)</f>
        <v>21.24</v>
      </c>
      <c r="G31" s="34">
        <f>TRUNC(E31*F31,2)</f>
        <v>5.31</v>
      </c>
      <c r="H31" s="9"/>
    </row>
    <row r="32" spans="1:8" ht="30">
      <c r="A32" s="158"/>
      <c r="B32" s="159" t="s">
        <v>24</v>
      </c>
      <c r="C32" s="31" t="s">
        <v>757</v>
      </c>
      <c r="D32" s="32" t="s">
        <v>5</v>
      </c>
      <c r="E32" s="160">
        <v>0.125</v>
      </c>
      <c r="F32" s="33">
        <f>TRUNC(5.18,2)</f>
        <v>5.18</v>
      </c>
      <c r="G32" s="34">
        <f>TRUNC(E32*F32,2)</f>
        <v>0.64</v>
      </c>
      <c r="H32" s="9"/>
    </row>
    <row r="33" spans="1:8" ht="15">
      <c r="A33" s="158"/>
      <c r="B33" s="159"/>
      <c r="C33" s="31"/>
      <c r="D33" s="32"/>
      <c r="E33" s="160" t="s">
        <v>6</v>
      </c>
      <c r="F33" s="33"/>
      <c r="G33" s="34">
        <f>TRUNC(SUM(G31:G32),2)</f>
        <v>5.95</v>
      </c>
      <c r="H33" s="9"/>
    </row>
    <row r="34" spans="1:8" ht="30">
      <c r="A34" s="155" t="s">
        <v>46</v>
      </c>
      <c r="B34" s="156" t="s">
        <v>366</v>
      </c>
      <c r="C34" s="27" t="s">
        <v>47</v>
      </c>
      <c r="D34" s="28" t="s">
        <v>0</v>
      </c>
      <c r="E34" s="157">
        <v>12</v>
      </c>
      <c r="F34" s="29">
        <v>363.95</v>
      </c>
      <c r="G34" s="30">
        <f>TRUNC((E34*F34),2)</f>
        <v>4367.4</v>
      </c>
      <c r="H34" s="9">
        <f>TRUNC((F34*1.2338),2)</f>
        <v>449.04</v>
      </c>
    </row>
    <row r="35" spans="1:7" ht="60">
      <c r="A35" s="1" t="s">
        <v>41</v>
      </c>
      <c r="B35" s="1" t="s">
        <v>366</v>
      </c>
      <c r="C35" s="180" t="s">
        <v>367</v>
      </c>
      <c r="D35" s="1" t="s">
        <v>0</v>
      </c>
      <c r="E35" s="1">
        <v>1</v>
      </c>
      <c r="F35" s="1">
        <f>G53</f>
        <v>370.54</v>
      </c>
      <c r="G35" s="1">
        <f aca="true" t="shared" si="1" ref="G35:G52">TRUNC(E35*F35,2)</f>
        <v>370.54</v>
      </c>
    </row>
    <row r="36" spans="2:7" ht="15">
      <c r="B36" s="1" t="s">
        <v>368</v>
      </c>
      <c r="C36" s="180" t="s">
        <v>369</v>
      </c>
      <c r="D36" s="1" t="s">
        <v>9</v>
      </c>
      <c r="E36" s="1">
        <v>0.0808</v>
      </c>
      <c r="F36" s="1">
        <f>TRUNC(5.64,2)</f>
        <v>5.64</v>
      </c>
      <c r="G36" s="1">
        <f t="shared" si="1"/>
        <v>0.45</v>
      </c>
    </row>
    <row r="37" spans="2:7" ht="15">
      <c r="B37" s="1" t="s">
        <v>370</v>
      </c>
      <c r="C37" s="180" t="s">
        <v>371</v>
      </c>
      <c r="D37" s="1" t="s">
        <v>9</v>
      </c>
      <c r="E37" s="1">
        <v>0.0808</v>
      </c>
      <c r="F37" s="1">
        <f>TRUNC(3.1,2)</f>
        <v>3.1</v>
      </c>
      <c r="G37" s="1">
        <f t="shared" si="1"/>
        <v>0.25</v>
      </c>
    </row>
    <row r="38" spans="2:7" ht="30">
      <c r="B38" s="1" t="s">
        <v>372</v>
      </c>
      <c r="C38" s="180" t="s">
        <v>373</v>
      </c>
      <c r="D38" s="1" t="s">
        <v>9</v>
      </c>
      <c r="E38" s="1">
        <v>0.08</v>
      </c>
      <c r="F38" s="1">
        <f>TRUNC(3.6,2)</f>
        <v>3.6</v>
      </c>
      <c r="G38" s="1">
        <f t="shared" si="1"/>
        <v>0.28</v>
      </c>
    </row>
    <row r="39" spans="2:7" ht="30">
      <c r="B39" s="1" t="s">
        <v>374</v>
      </c>
      <c r="C39" s="180" t="s">
        <v>375</v>
      </c>
      <c r="D39" s="1" t="s">
        <v>9</v>
      </c>
      <c r="E39" s="1">
        <v>0.06</v>
      </c>
      <c r="F39" s="1">
        <f>TRUNC(7.72,2)</f>
        <v>7.72</v>
      </c>
      <c r="G39" s="1">
        <f t="shared" si="1"/>
        <v>0.46</v>
      </c>
    </row>
    <row r="40" spans="2:7" ht="15">
      <c r="B40" s="1" t="s">
        <v>376</v>
      </c>
      <c r="C40" s="180" t="s">
        <v>377</v>
      </c>
      <c r="D40" s="1" t="s">
        <v>9</v>
      </c>
      <c r="E40" s="1">
        <v>0.17</v>
      </c>
      <c r="F40" s="1">
        <f>TRUNC(19.9,2)</f>
        <v>19.9</v>
      </c>
      <c r="G40" s="1">
        <f t="shared" si="1"/>
        <v>3.38</v>
      </c>
    </row>
    <row r="41" spans="2:7" ht="15">
      <c r="B41" s="1" t="s">
        <v>378</v>
      </c>
      <c r="C41" s="180" t="s">
        <v>379</v>
      </c>
      <c r="D41" s="1" t="s">
        <v>9</v>
      </c>
      <c r="E41" s="1">
        <v>0.0202</v>
      </c>
      <c r="F41" s="1">
        <f>TRUNC(8.56,2)</f>
        <v>8.56</v>
      </c>
      <c r="G41" s="1">
        <f t="shared" si="1"/>
        <v>0.17</v>
      </c>
    </row>
    <row r="42" spans="2:7" ht="30">
      <c r="B42" s="1" t="s">
        <v>380</v>
      </c>
      <c r="C42" s="180" t="s">
        <v>381</v>
      </c>
      <c r="D42" s="1" t="s">
        <v>10</v>
      </c>
      <c r="E42" s="1">
        <v>0.505</v>
      </c>
      <c r="F42" s="1">
        <f>TRUNC(1.9094,2)</f>
        <v>1.9</v>
      </c>
      <c r="G42" s="1">
        <f t="shared" si="1"/>
        <v>0.95</v>
      </c>
    </row>
    <row r="43" spans="2:7" ht="30">
      <c r="B43" s="1" t="s">
        <v>382</v>
      </c>
      <c r="C43" s="180" t="s">
        <v>383</v>
      </c>
      <c r="D43" s="1" t="s">
        <v>9</v>
      </c>
      <c r="E43" s="1">
        <v>0.275</v>
      </c>
      <c r="F43" s="1">
        <f>TRUNC(45.25,2)</f>
        <v>45.25</v>
      </c>
      <c r="G43" s="1">
        <f t="shared" si="1"/>
        <v>12.44</v>
      </c>
    </row>
    <row r="44" spans="2:7" ht="15">
      <c r="B44" s="1" t="s">
        <v>13</v>
      </c>
      <c r="C44" s="180" t="s">
        <v>14</v>
      </c>
      <c r="D44" s="1" t="s">
        <v>10</v>
      </c>
      <c r="E44" s="1">
        <v>2</v>
      </c>
      <c r="F44" s="1">
        <f>TRUNC(3.25,2)</f>
        <v>3.25</v>
      </c>
      <c r="G44" s="1">
        <f t="shared" si="1"/>
        <v>6.5</v>
      </c>
    </row>
    <row r="45" spans="2:7" ht="15">
      <c r="B45" s="1" t="s">
        <v>384</v>
      </c>
      <c r="C45" s="180" t="s">
        <v>385</v>
      </c>
      <c r="D45" s="1" t="s">
        <v>9</v>
      </c>
      <c r="E45" s="1">
        <v>0.95</v>
      </c>
      <c r="F45" s="1">
        <f>TRUNC(1.35,2)</f>
        <v>1.35</v>
      </c>
      <c r="G45" s="1">
        <f t="shared" si="1"/>
        <v>1.28</v>
      </c>
    </row>
    <row r="46" spans="2:7" ht="30">
      <c r="B46" s="1" t="s">
        <v>15</v>
      </c>
      <c r="C46" s="180" t="s">
        <v>16</v>
      </c>
      <c r="D46" s="1" t="s">
        <v>17</v>
      </c>
      <c r="E46" s="1">
        <v>0.12</v>
      </c>
      <c r="F46" s="1">
        <f>TRUNC(8.39,2)</f>
        <v>8.39</v>
      </c>
      <c r="G46" s="1">
        <f t="shared" si="1"/>
        <v>1</v>
      </c>
    </row>
    <row r="47" spans="2:7" ht="15">
      <c r="B47" s="1" t="s">
        <v>386</v>
      </c>
      <c r="C47" s="180" t="s">
        <v>387</v>
      </c>
      <c r="D47" s="1" t="s">
        <v>0</v>
      </c>
      <c r="E47" s="1">
        <v>0.06</v>
      </c>
      <c r="F47" s="1">
        <f>TRUNC(37.24,2)</f>
        <v>37.24</v>
      </c>
      <c r="G47" s="1">
        <f t="shared" si="1"/>
        <v>2.23</v>
      </c>
    </row>
    <row r="48" spans="2:7" ht="15">
      <c r="B48" s="1" t="s">
        <v>388</v>
      </c>
      <c r="C48" s="180" t="s">
        <v>389</v>
      </c>
      <c r="D48" s="1" t="s">
        <v>9</v>
      </c>
      <c r="E48" s="1">
        <v>0.17170000000000002</v>
      </c>
      <c r="F48" s="1">
        <f>TRUNC(2.2,2)</f>
        <v>2.2</v>
      </c>
      <c r="G48" s="1">
        <f t="shared" si="1"/>
        <v>0.37</v>
      </c>
    </row>
    <row r="49" spans="2:7" ht="30">
      <c r="B49" s="1" t="s">
        <v>390</v>
      </c>
      <c r="C49" s="180" t="s">
        <v>391</v>
      </c>
      <c r="D49" s="1" t="s">
        <v>3</v>
      </c>
      <c r="E49" s="1">
        <v>8.137</v>
      </c>
      <c r="F49" s="1">
        <f>TRUNC(21.49,2)</f>
        <v>21.49</v>
      </c>
      <c r="G49" s="1">
        <f t="shared" si="1"/>
        <v>174.86</v>
      </c>
    </row>
    <row r="50" spans="2:7" ht="30">
      <c r="B50" s="1" t="s">
        <v>7</v>
      </c>
      <c r="C50" s="180" t="s">
        <v>8</v>
      </c>
      <c r="D50" s="1" t="s">
        <v>3</v>
      </c>
      <c r="E50" s="1">
        <v>8.549000000000001</v>
      </c>
      <c r="F50" s="1">
        <f>TRUNC(14.47,2)</f>
        <v>14.47</v>
      </c>
      <c r="G50" s="1">
        <f t="shared" si="1"/>
        <v>123.7</v>
      </c>
    </row>
    <row r="51" spans="2:7" ht="30">
      <c r="B51" s="1" t="s">
        <v>18</v>
      </c>
      <c r="C51" s="180" t="s">
        <v>19</v>
      </c>
      <c r="D51" s="1" t="s">
        <v>3</v>
      </c>
      <c r="E51" s="1">
        <v>0.41200000000000003</v>
      </c>
      <c r="F51" s="1">
        <f>TRUNC(19.97,2)</f>
        <v>19.97</v>
      </c>
      <c r="G51" s="1">
        <f t="shared" si="1"/>
        <v>8.22</v>
      </c>
    </row>
    <row r="52" spans="2:7" ht="15">
      <c r="B52" s="1" t="s">
        <v>392</v>
      </c>
      <c r="C52" s="180" t="s">
        <v>393</v>
      </c>
      <c r="D52" s="1" t="s">
        <v>0</v>
      </c>
      <c r="E52" s="1">
        <v>1.65</v>
      </c>
      <c r="F52" s="1">
        <f>TRUNC(20.6164,2)</f>
        <v>20.61</v>
      </c>
      <c r="G52" s="1">
        <f t="shared" si="1"/>
        <v>34</v>
      </c>
    </row>
    <row r="53" spans="3:7" ht="15">
      <c r="C53" s="180"/>
      <c r="E53" s="1" t="s">
        <v>6</v>
      </c>
      <c r="G53" s="1">
        <f>TRUNC(SUM(G36:G52),2)</f>
        <v>370.54</v>
      </c>
    </row>
    <row r="54" spans="1:8" ht="45">
      <c r="A54" s="155" t="s">
        <v>48</v>
      </c>
      <c r="B54" s="156" t="s">
        <v>20</v>
      </c>
      <c r="C54" s="27" t="s">
        <v>49</v>
      </c>
      <c r="D54" s="28" t="s">
        <v>9</v>
      </c>
      <c r="E54" s="157">
        <v>1</v>
      </c>
      <c r="F54" s="29">
        <v>2993.26</v>
      </c>
      <c r="G54" s="30">
        <f>TRUNC((E54*F54),2)</f>
        <v>2993.26</v>
      </c>
      <c r="H54" s="9">
        <f>TRUNC((F54*1.2338),2)</f>
        <v>3693.08</v>
      </c>
    </row>
    <row r="55" spans="1:7" ht="60">
      <c r="A55" s="1" t="s">
        <v>41</v>
      </c>
      <c r="B55" s="1" t="s">
        <v>20</v>
      </c>
      <c r="C55" s="180" t="s">
        <v>394</v>
      </c>
      <c r="D55" s="1" t="s">
        <v>9</v>
      </c>
      <c r="E55" s="182">
        <v>1</v>
      </c>
      <c r="F55" s="181">
        <v>3010.42</v>
      </c>
      <c r="G55" s="182">
        <f>TRUNC(E55*F55,2)</f>
        <v>3010.42</v>
      </c>
    </row>
    <row r="56" spans="2:7" ht="30">
      <c r="B56" s="1" t="s">
        <v>395</v>
      </c>
      <c r="C56" s="180" t="s">
        <v>396</v>
      </c>
      <c r="D56" s="1" t="s">
        <v>10</v>
      </c>
      <c r="E56" s="182">
        <v>3.44</v>
      </c>
      <c r="F56" s="181">
        <f>TRUNC(9.96,2)</f>
        <v>9.96</v>
      </c>
      <c r="G56" s="182">
        <f>E56*F56</f>
        <v>34.2624</v>
      </c>
    </row>
    <row r="57" spans="2:7" ht="15">
      <c r="B57" s="1" t="s">
        <v>13</v>
      </c>
      <c r="C57" s="180" t="s">
        <v>14</v>
      </c>
      <c r="D57" s="1" t="s">
        <v>10</v>
      </c>
      <c r="E57" s="182">
        <v>25</v>
      </c>
      <c r="F57" s="181">
        <f>TRUNC(3.25,2)</f>
        <v>3.25</v>
      </c>
      <c r="G57" s="182">
        <f aca="true" t="shared" si="2" ref="G57:G71">E57*F57</f>
        <v>81.25</v>
      </c>
    </row>
    <row r="58" spans="2:7" ht="30">
      <c r="B58" s="1" t="s">
        <v>15</v>
      </c>
      <c r="C58" s="180" t="s">
        <v>16</v>
      </c>
      <c r="D58" s="1" t="s">
        <v>17</v>
      </c>
      <c r="E58" s="182">
        <v>1</v>
      </c>
      <c r="F58" s="181">
        <f>TRUNC(8.39,2)</f>
        <v>8.39</v>
      </c>
      <c r="G58" s="182">
        <f t="shared" si="2"/>
        <v>8.39</v>
      </c>
    </row>
    <row r="59" spans="2:7" ht="15">
      <c r="B59" s="1" t="s">
        <v>397</v>
      </c>
      <c r="C59" s="180" t="s">
        <v>398</v>
      </c>
      <c r="D59" s="1" t="s">
        <v>9</v>
      </c>
      <c r="E59" s="182">
        <v>30</v>
      </c>
      <c r="F59" s="181">
        <f>TRUNC(0.49,2)</f>
        <v>0.49</v>
      </c>
      <c r="G59" s="182">
        <f t="shared" si="2"/>
        <v>14.7</v>
      </c>
    </row>
    <row r="60" spans="2:7" ht="15">
      <c r="B60" s="1" t="s">
        <v>399</v>
      </c>
      <c r="C60" s="180" t="s">
        <v>400</v>
      </c>
      <c r="D60" s="1" t="s">
        <v>10</v>
      </c>
      <c r="E60" s="182">
        <v>30</v>
      </c>
      <c r="F60" s="181">
        <v>15.78</v>
      </c>
      <c r="G60" s="182">
        <f t="shared" si="2"/>
        <v>473.4</v>
      </c>
    </row>
    <row r="61" spans="2:7" ht="30">
      <c r="B61" s="1" t="s">
        <v>401</v>
      </c>
      <c r="C61" s="180" t="s">
        <v>402</v>
      </c>
      <c r="D61" s="1" t="s">
        <v>9</v>
      </c>
      <c r="E61" s="182">
        <v>1</v>
      </c>
      <c r="F61" s="181">
        <v>234.78</v>
      </c>
      <c r="G61" s="182">
        <f t="shared" si="2"/>
        <v>234.78</v>
      </c>
    </row>
    <row r="62" spans="2:7" ht="30">
      <c r="B62" s="1" t="s">
        <v>403</v>
      </c>
      <c r="C62" s="180" t="s">
        <v>404</v>
      </c>
      <c r="D62" s="1" t="s">
        <v>9</v>
      </c>
      <c r="E62" s="182">
        <v>1</v>
      </c>
      <c r="F62" s="181">
        <f>TRUNC(10.4,2)</f>
        <v>10.4</v>
      </c>
      <c r="G62" s="182">
        <f t="shared" si="2"/>
        <v>10.4</v>
      </c>
    </row>
    <row r="63" spans="2:7" ht="30">
      <c r="B63" s="1" t="s">
        <v>405</v>
      </c>
      <c r="C63" s="180" t="s">
        <v>406</v>
      </c>
      <c r="D63" s="1" t="s">
        <v>9</v>
      </c>
      <c r="E63" s="182">
        <v>1</v>
      </c>
      <c r="F63" s="181">
        <v>22.2791</v>
      </c>
      <c r="G63" s="182">
        <f t="shared" si="2"/>
        <v>22.2791</v>
      </c>
    </row>
    <row r="64" spans="2:7" ht="30">
      <c r="B64" s="1" t="s">
        <v>390</v>
      </c>
      <c r="C64" s="180" t="s">
        <v>391</v>
      </c>
      <c r="D64" s="1" t="s">
        <v>3</v>
      </c>
      <c r="E64" s="182">
        <v>8.24</v>
      </c>
      <c r="F64" s="181">
        <f>TRUNC(21.49,2)</f>
        <v>21.49</v>
      </c>
      <c r="G64" s="182">
        <f t="shared" si="2"/>
        <v>177.0776</v>
      </c>
    </row>
    <row r="65" spans="2:7" ht="15">
      <c r="B65" s="1" t="s">
        <v>135</v>
      </c>
      <c r="C65" s="180" t="s">
        <v>136</v>
      </c>
      <c r="D65" s="1" t="s">
        <v>3</v>
      </c>
      <c r="E65" s="182">
        <v>8.24</v>
      </c>
      <c r="F65" s="181">
        <f>TRUNC(19.97,2)</f>
        <v>19.97</v>
      </c>
      <c r="G65" s="182">
        <f t="shared" si="2"/>
        <v>164.5528</v>
      </c>
    </row>
    <row r="66" spans="2:7" ht="30">
      <c r="B66" s="1" t="s">
        <v>137</v>
      </c>
      <c r="C66" s="180" t="s">
        <v>138</v>
      </c>
      <c r="D66" s="1" t="s">
        <v>3</v>
      </c>
      <c r="E66" s="182">
        <v>11.33</v>
      </c>
      <c r="F66" s="181">
        <f>TRUNC(19.97,2)</f>
        <v>19.97</v>
      </c>
      <c r="G66" s="182">
        <f t="shared" si="2"/>
        <v>226.2601</v>
      </c>
    </row>
    <row r="67" spans="2:7" ht="30">
      <c r="B67" s="1" t="s">
        <v>7</v>
      </c>
      <c r="C67" s="180" t="s">
        <v>8</v>
      </c>
      <c r="D67" s="1" t="s">
        <v>3</v>
      </c>
      <c r="E67" s="182">
        <v>8.24</v>
      </c>
      <c r="F67" s="181">
        <f>TRUNC(14.47,2)</f>
        <v>14.47</v>
      </c>
      <c r="G67" s="182">
        <f t="shared" si="2"/>
        <v>119.23280000000001</v>
      </c>
    </row>
    <row r="68" spans="2:7" ht="30">
      <c r="B68" s="1" t="s">
        <v>407</v>
      </c>
      <c r="C68" s="180" t="s">
        <v>408</v>
      </c>
      <c r="D68" s="1" t="s">
        <v>9</v>
      </c>
      <c r="E68" s="182">
        <v>1</v>
      </c>
      <c r="F68" s="181">
        <f>TRUNC(828.15,2)</f>
        <v>828.15</v>
      </c>
      <c r="G68" s="182">
        <f t="shared" si="2"/>
        <v>828.15</v>
      </c>
    </row>
    <row r="69" spans="2:7" ht="15">
      <c r="B69" s="1" t="s">
        <v>409</v>
      </c>
      <c r="C69" s="180" t="s">
        <v>410</v>
      </c>
      <c r="D69" s="1" t="s">
        <v>9</v>
      </c>
      <c r="E69" s="182">
        <v>1</v>
      </c>
      <c r="F69" s="181">
        <v>445.8148</v>
      </c>
      <c r="G69" s="182">
        <f t="shared" si="2"/>
        <v>445.8148</v>
      </c>
    </row>
    <row r="70" spans="2:7" ht="15">
      <c r="B70" s="1" t="s">
        <v>139</v>
      </c>
      <c r="C70" s="180" t="s">
        <v>140</v>
      </c>
      <c r="D70" s="1" t="s">
        <v>11</v>
      </c>
      <c r="E70" s="182">
        <v>0.018</v>
      </c>
      <c r="F70" s="181">
        <v>274.6953</v>
      </c>
      <c r="G70" s="182">
        <f t="shared" si="2"/>
        <v>4.944515399999999</v>
      </c>
    </row>
    <row r="71" spans="2:7" ht="15">
      <c r="B71" s="1" t="s">
        <v>392</v>
      </c>
      <c r="C71" s="180" t="s">
        <v>393</v>
      </c>
      <c r="D71" s="1" t="s">
        <v>0</v>
      </c>
      <c r="E71" s="182">
        <v>8</v>
      </c>
      <c r="F71" s="181">
        <v>20.6164</v>
      </c>
      <c r="G71" s="182">
        <f t="shared" si="2"/>
        <v>164.9312</v>
      </c>
    </row>
    <row r="72" spans="3:7" ht="15">
      <c r="C72" s="180"/>
      <c r="E72" s="182" t="s">
        <v>6</v>
      </c>
      <c r="F72" s="181"/>
      <c r="G72" s="182">
        <f>TRUNC(SUM(G56:G71),2)</f>
        <v>3010.42</v>
      </c>
    </row>
    <row r="73" spans="1:8" ht="30">
      <c r="A73" s="183" t="s">
        <v>50</v>
      </c>
      <c r="B73" s="184" t="s">
        <v>130</v>
      </c>
      <c r="C73" s="24" t="s">
        <v>131</v>
      </c>
      <c r="D73" s="25" t="s">
        <v>9</v>
      </c>
      <c r="E73" s="185">
        <v>1</v>
      </c>
      <c r="F73" s="98">
        <v>1527.74</v>
      </c>
      <c r="G73" s="39">
        <f>TRUNC((E73*F73),2)</f>
        <v>1527.74</v>
      </c>
      <c r="H73" s="9">
        <f>TRUNC((F73*1.2338),2)</f>
        <v>1884.92</v>
      </c>
    </row>
    <row r="74" spans="1:8" s="90" customFormat="1" ht="30">
      <c r="A74" s="186" t="s">
        <v>41</v>
      </c>
      <c r="B74" s="187" t="s">
        <v>130</v>
      </c>
      <c r="C74" s="35" t="s">
        <v>131</v>
      </c>
      <c r="D74" s="36" t="s">
        <v>9</v>
      </c>
      <c r="E74" s="188">
        <v>1</v>
      </c>
      <c r="F74" s="37">
        <f>G94</f>
        <v>1508.12</v>
      </c>
      <c r="G74" s="38">
        <f aca="true" t="shared" si="3" ref="G74:G93">TRUNC(E74*F74,2)</f>
        <v>1508.12</v>
      </c>
      <c r="H74" s="89"/>
    </row>
    <row r="75" spans="1:8" s="90" customFormat="1" ht="15">
      <c r="A75" s="158"/>
      <c r="B75" s="159" t="s">
        <v>411</v>
      </c>
      <c r="C75" s="31" t="s">
        <v>412</v>
      </c>
      <c r="D75" s="32" t="s">
        <v>9</v>
      </c>
      <c r="E75" s="160">
        <v>1</v>
      </c>
      <c r="F75" s="33">
        <v>73.5</v>
      </c>
      <c r="G75" s="34">
        <f t="shared" si="3"/>
        <v>73.5</v>
      </c>
      <c r="H75" s="89"/>
    </row>
    <row r="76" spans="1:8" s="90" customFormat="1" ht="15">
      <c r="A76" s="158"/>
      <c r="B76" s="159" t="s">
        <v>413</v>
      </c>
      <c r="C76" s="31" t="s">
        <v>414</v>
      </c>
      <c r="D76" s="32" t="s">
        <v>9</v>
      </c>
      <c r="E76" s="160">
        <v>0.1333333</v>
      </c>
      <c r="F76" s="33">
        <v>62.04</v>
      </c>
      <c r="G76" s="34">
        <f t="shared" si="3"/>
        <v>8.27</v>
      </c>
      <c r="H76" s="89"/>
    </row>
    <row r="77" spans="1:8" s="90" customFormat="1" ht="30">
      <c r="A77" s="158"/>
      <c r="B77" s="159" t="s">
        <v>415</v>
      </c>
      <c r="C77" s="31" t="s">
        <v>416</v>
      </c>
      <c r="D77" s="32" t="s">
        <v>9</v>
      </c>
      <c r="E77" s="160">
        <v>2</v>
      </c>
      <c r="F77" s="33">
        <v>20.26</v>
      </c>
      <c r="G77" s="34">
        <f t="shared" si="3"/>
        <v>40.52</v>
      </c>
      <c r="H77" s="89"/>
    </row>
    <row r="78" spans="1:8" s="90" customFormat="1" ht="15">
      <c r="A78" s="158"/>
      <c r="B78" s="159" t="s">
        <v>417</v>
      </c>
      <c r="C78" s="31" t="s">
        <v>418</v>
      </c>
      <c r="D78" s="32" t="s">
        <v>10</v>
      </c>
      <c r="E78" s="160">
        <v>3</v>
      </c>
      <c r="F78" s="33">
        <v>8.4</v>
      </c>
      <c r="G78" s="34">
        <f t="shared" si="3"/>
        <v>25.2</v>
      </c>
      <c r="H78" s="89"/>
    </row>
    <row r="79" spans="1:8" s="90" customFormat="1" ht="30">
      <c r="A79" s="158"/>
      <c r="B79" s="159" t="s">
        <v>419</v>
      </c>
      <c r="C79" s="31" t="s">
        <v>420</v>
      </c>
      <c r="D79" s="32" t="s">
        <v>10</v>
      </c>
      <c r="E79" s="160">
        <v>27</v>
      </c>
      <c r="F79" s="33">
        <v>5.75</v>
      </c>
      <c r="G79" s="34">
        <f t="shared" si="3"/>
        <v>155.25</v>
      </c>
      <c r="H79" s="89"/>
    </row>
    <row r="80" spans="1:8" s="90" customFormat="1" ht="30">
      <c r="A80" s="158"/>
      <c r="B80" s="159" t="s">
        <v>421</v>
      </c>
      <c r="C80" s="31" t="s">
        <v>422</v>
      </c>
      <c r="D80" s="32" t="s">
        <v>9</v>
      </c>
      <c r="E80" s="160">
        <v>1</v>
      </c>
      <c r="F80" s="33">
        <v>90.8</v>
      </c>
      <c r="G80" s="34">
        <f t="shared" si="3"/>
        <v>90.8</v>
      </c>
      <c r="H80" s="89"/>
    </row>
    <row r="81" spans="1:8" s="90" customFormat="1" ht="30">
      <c r="A81" s="158"/>
      <c r="B81" s="159" t="s">
        <v>423</v>
      </c>
      <c r="C81" s="31" t="s">
        <v>424</v>
      </c>
      <c r="D81" s="32" t="s">
        <v>9</v>
      </c>
      <c r="E81" s="160">
        <v>2</v>
      </c>
      <c r="F81" s="33">
        <v>67.25</v>
      </c>
      <c r="G81" s="34">
        <f t="shared" si="3"/>
        <v>134.5</v>
      </c>
      <c r="H81" s="89"/>
    </row>
    <row r="82" spans="1:8" s="90" customFormat="1" ht="15">
      <c r="A82" s="158"/>
      <c r="B82" s="159" t="s">
        <v>425</v>
      </c>
      <c r="C82" s="31" t="s">
        <v>426</v>
      </c>
      <c r="D82" s="32" t="s">
        <v>9</v>
      </c>
      <c r="E82" s="160">
        <v>4</v>
      </c>
      <c r="F82" s="33">
        <v>1.22</v>
      </c>
      <c r="G82" s="34">
        <f t="shared" si="3"/>
        <v>4.88</v>
      </c>
      <c r="H82" s="89"/>
    </row>
    <row r="83" spans="1:8" s="90" customFormat="1" ht="15">
      <c r="A83" s="158"/>
      <c r="B83" s="159" t="s">
        <v>427</v>
      </c>
      <c r="C83" s="31" t="s">
        <v>428</v>
      </c>
      <c r="D83" s="32" t="s">
        <v>9</v>
      </c>
      <c r="E83" s="160">
        <v>2</v>
      </c>
      <c r="F83" s="33">
        <v>0.7</v>
      </c>
      <c r="G83" s="34">
        <f t="shared" si="3"/>
        <v>1.4</v>
      </c>
      <c r="H83" s="89"/>
    </row>
    <row r="84" spans="1:8" s="90" customFormat="1" ht="15">
      <c r="A84" s="158"/>
      <c r="B84" s="159" t="s">
        <v>429</v>
      </c>
      <c r="C84" s="31" t="s">
        <v>430</v>
      </c>
      <c r="D84" s="32" t="s">
        <v>10</v>
      </c>
      <c r="E84" s="160">
        <v>8</v>
      </c>
      <c r="F84" s="33">
        <v>4.92</v>
      </c>
      <c r="G84" s="34">
        <f t="shared" si="3"/>
        <v>39.36</v>
      </c>
      <c r="H84" s="89"/>
    </row>
    <row r="85" spans="1:8" s="90" customFormat="1" ht="30">
      <c r="A85" s="158"/>
      <c r="B85" s="159" t="s">
        <v>431</v>
      </c>
      <c r="C85" s="31" t="s">
        <v>432</v>
      </c>
      <c r="D85" s="32" t="s">
        <v>10</v>
      </c>
      <c r="E85" s="160">
        <v>7.96</v>
      </c>
      <c r="F85" s="33">
        <v>54.28</v>
      </c>
      <c r="G85" s="34">
        <f t="shared" si="3"/>
        <v>432.06</v>
      </c>
      <c r="H85" s="89"/>
    </row>
    <row r="86" spans="1:8" s="90" customFormat="1" ht="45">
      <c r="A86" s="158"/>
      <c r="B86" s="159" t="s">
        <v>132</v>
      </c>
      <c r="C86" s="31" t="s">
        <v>133</v>
      </c>
      <c r="D86" s="32" t="s">
        <v>9</v>
      </c>
      <c r="E86" s="160">
        <v>1</v>
      </c>
      <c r="F86" s="33">
        <v>42.48</v>
      </c>
      <c r="G86" s="34">
        <f t="shared" si="3"/>
        <v>42.48</v>
      </c>
      <c r="H86" s="89"/>
    </row>
    <row r="87" spans="1:8" s="90" customFormat="1" ht="30">
      <c r="A87" s="158"/>
      <c r="B87" s="159" t="s">
        <v>433</v>
      </c>
      <c r="C87" s="31" t="s">
        <v>434</v>
      </c>
      <c r="D87" s="32" t="s">
        <v>9</v>
      </c>
      <c r="E87" s="160">
        <v>2</v>
      </c>
      <c r="F87" s="33">
        <v>7.03</v>
      </c>
      <c r="G87" s="34">
        <f t="shared" si="3"/>
        <v>14.06</v>
      </c>
      <c r="H87" s="89"/>
    </row>
    <row r="88" spans="1:8" s="90" customFormat="1" ht="30">
      <c r="A88" s="158"/>
      <c r="B88" s="159" t="s">
        <v>435</v>
      </c>
      <c r="C88" s="31" t="s">
        <v>436</v>
      </c>
      <c r="D88" s="32" t="s">
        <v>9</v>
      </c>
      <c r="E88" s="160">
        <v>2</v>
      </c>
      <c r="F88" s="33">
        <v>7.27</v>
      </c>
      <c r="G88" s="34">
        <f t="shared" si="3"/>
        <v>14.54</v>
      </c>
      <c r="H88" s="89"/>
    </row>
    <row r="89" spans="1:8" s="90" customFormat="1" ht="15">
      <c r="A89" s="158"/>
      <c r="B89" s="159" t="s">
        <v>437</v>
      </c>
      <c r="C89" s="31" t="s">
        <v>438</v>
      </c>
      <c r="D89" s="32" t="s">
        <v>9</v>
      </c>
      <c r="E89" s="160">
        <v>2</v>
      </c>
      <c r="F89" s="33">
        <v>3.47</v>
      </c>
      <c r="G89" s="34">
        <f t="shared" si="3"/>
        <v>6.94</v>
      </c>
      <c r="H89" s="89"/>
    </row>
    <row r="90" spans="1:8" s="90" customFormat="1" ht="15">
      <c r="A90" s="158"/>
      <c r="B90" s="159" t="s">
        <v>439</v>
      </c>
      <c r="C90" s="31" t="s">
        <v>440</v>
      </c>
      <c r="D90" s="32" t="s">
        <v>9</v>
      </c>
      <c r="E90" s="160">
        <v>2</v>
      </c>
      <c r="F90" s="33">
        <v>0.94</v>
      </c>
      <c r="G90" s="34">
        <f t="shared" si="3"/>
        <v>1.88</v>
      </c>
      <c r="H90" s="89"/>
    </row>
    <row r="91" spans="1:8" s="90" customFormat="1" ht="30">
      <c r="A91" s="158"/>
      <c r="B91" s="159" t="s">
        <v>441</v>
      </c>
      <c r="C91" s="31" t="s">
        <v>442</v>
      </c>
      <c r="D91" s="32" t="s">
        <v>9</v>
      </c>
      <c r="E91" s="160">
        <v>8</v>
      </c>
      <c r="F91" s="33">
        <v>4.61</v>
      </c>
      <c r="G91" s="34">
        <f t="shared" si="3"/>
        <v>36.88</v>
      </c>
      <c r="H91" s="89"/>
    </row>
    <row r="92" spans="1:8" s="90" customFormat="1" ht="15">
      <c r="A92" s="158"/>
      <c r="B92" s="159" t="s">
        <v>134</v>
      </c>
      <c r="C92" s="31" t="s">
        <v>93</v>
      </c>
      <c r="D92" s="32" t="s">
        <v>3</v>
      </c>
      <c r="E92" s="160">
        <v>8</v>
      </c>
      <c r="F92" s="33">
        <f>TRUNC(26.96,2)</f>
        <v>26.96</v>
      </c>
      <c r="G92" s="34">
        <f t="shared" si="3"/>
        <v>215.68</v>
      </c>
      <c r="H92" s="89"/>
    </row>
    <row r="93" spans="1:8" s="90" customFormat="1" ht="15">
      <c r="A93" s="158"/>
      <c r="B93" s="159" t="s">
        <v>1</v>
      </c>
      <c r="C93" s="31" t="s">
        <v>2</v>
      </c>
      <c r="D93" s="32" t="s">
        <v>3</v>
      </c>
      <c r="E93" s="160">
        <v>8</v>
      </c>
      <c r="F93" s="33">
        <f>TRUNC(21.24,2)</f>
        <v>21.24</v>
      </c>
      <c r="G93" s="34">
        <f t="shared" si="3"/>
        <v>169.92</v>
      </c>
      <c r="H93" s="89"/>
    </row>
    <row r="94" spans="1:8" s="90" customFormat="1" ht="15">
      <c r="A94" s="158"/>
      <c r="B94" s="159"/>
      <c r="C94" s="31"/>
      <c r="D94" s="32"/>
      <c r="E94" s="160" t="s">
        <v>6</v>
      </c>
      <c r="F94" s="33"/>
      <c r="G94" s="34">
        <f>TRUNC(SUM(G75:G93),2)</f>
        <v>1508.12</v>
      </c>
      <c r="H94" s="89"/>
    </row>
    <row r="95" spans="1:8" ht="30">
      <c r="A95" s="155" t="s">
        <v>51</v>
      </c>
      <c r="B95" s="156" t="s">
        <v>766</v>
      </c>
      <c r="C95" s="27" t="s">
        <v>52</v>
      </c>
      <c r="D95" s="28" t="s">
        <v>11</v>
      </c>
      <c r="E95" s="157">
        <v>4.74</v>
      </c>
      <c r="F95" s="189">
        <v>55.49</v>
      </c>
      <c r="G95" s="30">
        <f>TRUNC((E95*F95),2)</f>
        <v>263.02</v>
      </c>
      <c r="H95" s="9">
        <f>TRUNC((F95*1.2338),2)</f>
        <v>68.46</v>
      </c>
    </row>
    <row r="96" spans="1:8" ht="30">
      <c r="A96" s="190" t="s">
        <v>41</v>
      </c>
      <c r="B96" s="159" t="s">
        <v>766</v>
      </c>
      <c r="C96" s="31" t="s">
        <v>443</v>
      </c>
      <c r="D96" s="32" t="s">
        <v>11</v>
      </c>
      <c r="E96" s="160">
        <v>1</v>
      </c>
      <c r="F96" s="33">
        <f>G99</f>
        <v>55.43</v>
      </c>
      <c r="G96" s="191">
        <f>TRUNC(E96*F96,2)</f>
        <v>55.43</v>
      </c>
      <c r="H96" s="9"/>
    </row>
    <row r="97" spans="1:8" ht="15">
      <c r="A97" s="190"/>
      <c r="B97" s="159" t="s">
        <v>1</v>
      </c>
      <c r="C97" s="31" t="s">
        <v>2</v>
      </c>
      <c r="D97" s="32" t="s">
        <v>3</v>
      </c>
      <c r="E97" s="160">
        <v>2.3248</v>
      </c>
      <c r="F97" s="33">
        <f>TRUNC(21.24,2)</f>
        <v>21.24</v>
      </c>
      <c r="G97" s="191">
        <f>TRUNC(E97*F97,2)</f>
        <v>49.37</v>
      </c>
      <c r="H97" s="9"/>
    </row>
    <row r="98" spans="1:8" ht="15">
      <c r="A98" s="190"/>
      <c r="B98" s="159" t="s">
        <v>166</v>
      </c>
      <c r="C98" s="31" t="s">
        <v>53</v>
      </c>
      <c r="D98" s="32" t="s">
        <v>3</v>
      </c>
      <c r="E98" s="160">
        <v>0.225</v>
      </c>
      <c r="F98" s="33">
        <f>TRUNC(26.95,2)</f>
        <v>26.95</v>
      </c>
      <c r="G98" s="191">
        <f>TRUNC(E98*F98,2)</f>
        <v>6.06</v>
      </c>
      <c r="H98" s="9"/>
    </row>
    <row r="99" spans="1:8" ht="15">
      <c r="A99" s="190"/>
      <c r="B99" s="159"/>
      <c r="C99" s="31"/>
      <c r="D99" s="32"/>
      <c r="E99" s="160" t="s">
        <v>6</v>
      </c>
      <c r="F99" s="33"/>
      <c r="G99" s="191">
        <f>TRUNC(SUM(G97:G98),2)</f>
        <v>55.43</v>
      </c>
      <c r="H99" s="9"/>
    </row>
    <row r="100" spans="1:8" ht="15.75">
      <c r="A100" s="40" t="s">
        <v>41</v>
      </c>
      <c r="B100" s="192"/>
      <c r="C100" s="41"/>
      <c r="D100" s="42"/>
      <c r="E100" s="377" t="s">
        <v>54</v>
      </c>
      <c r="F100" s="377"/>
      <c r="G100" s="43">
        <f>G13+G24+G29+G34+G54+G73+G95</f>
        <v>16202.51</v>
      </c>
      <c r="H100" s="337"/>
    </row>
    <row r="101" spans="1:8" ht="15.75">
      <c r="A101" s="44" t="s">
        <v>55</v>
      </c>
      <c r="B101" s="44"/>
      <c r="C101" s="45" t="s">
        <v>56</v>
      </c>
      <c r="D101" s="149"/>
      <c r="E101" s="46"/>
      <c r="F101" s="47"/>
      <c r="G101" s="48"/>
      <c r="H101" s="9"/>
    </row>
    <row r="102" spans="1:8" ht="30">
      <c r="A102" s="49" t="s">
        <v>57</v>
      </c>
      <c r="B102" s="193" t="s">
        <v>800</v>
      </c>
      <c r="C102" s="24" t="s">
        <v>58</v>
      </c>
      <c r="D102" s="25" t="s">
        <v>59</v>
      </c>
      <c r="E102" s="50">
        <v>231.99</v>
      </c>
      <c r="F102" s="26">
        <v>70.39</v>
      </c>
      <c r="G102" s="39">
        <f>TRUNC((E102*F102),2)</f>
        <v>16329.77</v>
      </c>
      <c r="H102" s="9">
        <f>TRUNC((F102*1.2338),2)</f>
        <v>86.84</v>
      </c>
    </row>
    <row r="103" spans="1:8" ht="45">
      <c r="A103" s="51" t="s">
        <v>41</v>
      </c>
      <c r="B103" s="194" t="s">
        <v>444</v>
      </c>
      <c r="C103" s="35" t="s">
        <v>445</v>
      </c>
      <c r="D103" s="36" t="s">
        <v>11</v>
      </c>
      <c r="E103" s="53">
        <v>1</v>
      </c>
      <c r="F103" s="37">
        <f>G112</f>
        <v>70.43</v>
      </c>
      <c r="G103" s="38">
        <f aca="true" t="shared" si="4" ref="G103:G111">TRUNC(E103*F103,2)</f>
        <v>70.43</v>
      </c>
      <c r="H103" s="9"/>
    </row>
    <row r="104" spans="1:8" s="133" customFormat="1" ht="15.75">
      <c r="A104" s="54"/>
      <c r="B104" s="195" t="s">
        <v>446</v>
      </c>
      <c r="C104" s="55" t="s">
        <v>447</v>
      </c>
      <c r="D104" s="56" t="s">
        <v>448</v>
      </c>
      <c r="E104" s="132">
        <v>0</v>
      </c>
      <c r="F104" s="57">
        <v>28</v>
      </c>
      <c r="G104" s="58">
        <f t="shared" si="4"/>
        <v>0</v>
      </c>
      <c r="H104" s="59"/>
    </row>
    <row r="105" spans="1:8" s="133" customFormat="1" ht="15.75">
      <c r="A105" s="54"/>
      <c r="B105" s="195" t="s">
        <v>449</v>
      </c>
      <c r="C105" s="55" t="s">
        <v>450</v>
      </c>
      <c r="D105" s="56" t="s">
        <v>448</v>
      </c>
      <c r="E105" s="132">
        <v>1.5</v>
      </c>
      <c r="F105" s="57">
        <v>44</v>
      </c>
      <c r="G105" s="58">
        <f t="shared" si="4"/>
        <v>66</v>
      </c>
      <c r="H105" s="59"/>
    </row>
    <row r="106" spans="1:8" ht="30">
      <c r="A106" s="60"/>
      <c r="B106" s="196" t="s">
        <v>7</v>
      </c>
      <c r="C106" s="31" t="s">
        <v>8</v>
      </c>
      <c r="D106" s="32" t="s">
        <v>3</v>
      </c>
      <c r="E106" s="62">
        <v>0.07828</v>
      </c>
      <c r="F106" s="33">
        <v>14.47</v>
      </c>
      <c r="G106" s="34">
        <f t="shared" si="4"/>
        <v>1.13</v>
      </c>
      <c r="H106" s="9"/>
    </row>
    <row r="107" spans="1:8" ht="15">
      <c r="A107" s="60"/>
      <c r="B107" s="196" t="s">
        <v>451</v>
      </c>
      <c r="C107" s="31" t="s">
        <v>452</v>
      </c>
      <c r="D107" s="32" t="s">
        <v>3</v>
      </c>
      <c r="E107" s="62">
        <v>0.0038</v>
      </c>
      <c r="F107" s="33">
        <v>68.5744</v>
      </c>
      <c r="G107" s="34">
        <f t="shared" si="4"/>
        <v>0.26</v>
      </c>
      <c r="H107" s="9"/>
    </row>
    <row r="108" spans="1:8" ht="15">
      <c r="A108" s="60"/>
      <c r="B108" s="196" t="s">
        <v>453</v>
      </c>
      <c r="C108" s="31" t="s">
        <v>454</v>
      </c>
      <c r="D108" s="32" t="s">
        <v>3</v>
      </c>
      <c r="E108" s="62">
        <v>0.0057</v>
      </c>
      <c r="F108" s="33">
        <v>192.2523</v>
      </c>
      <c r="G108" s="34">
        <f t="shared" si="4"/>
        <v>1.09</v>
      </c>
      <c r="H108" s="9"/>
    </row>
    <row r="109" spans="1:8" ht="15">
      <c r="A109" s="60"/>
      <c r="B109" s="196" t="s">
        <v>455</v>
      </c>
      <c r="C109" s="31" t="s">
        <v>456</v>
      </c>
      <c r="D109" s="32" t="s">
        <v>3</v>
      </c>
      <c r="E109" s="62">
        <v>0.0095</v>
      </c>
      <c r="F109" s="33">
        <v>89.733</v>
      </c>
      <c r="G109" s="34">
        <f t="shared" si="4"/>
        <v>0.85</v>
      </c>
      <c r="H109" s="9"/>
    </row>
    <row r="110" spans="1:8" ht="15">
      <c r="A110" s="60"/>
      <c r="B110" s="196" t="s">
        <v>457</v>
      </c>
      <c r="C110" s="31" t="s">
        <v>458</v>
      </c>
      <c r="D110" s="32" t="s">
        <v>3</v>
      </c>
      <c r="E110" s="62">
        <v>0.0014</v>
      </c>
      <c r="F110" s="33">
        <v>45.4245</v>
      </c>
      <c r="G110" s="34">
        <f t="shared" si="4"/>
        <v>0.06</v>
      </c>
      <c r="H110" s="9"/>
    </row>
    <row r="111" spans="1:8" ht="15">
      <c r="A111" s="60"/>
      <c r="B111" s="196" t="s">
        <v>459</v>
      </c>
      <c r="C111" s="31" t="s">
        <v>460</v>
      </c>
      <c r="D111" s="32" t="s">
        <v>3</v>
      </c>
      <c r="E111" s="62">
        <v>0.0081</v>
      </c>
      <c r="F111" s="33">
        <v>128.9749</v>
      </c>
      <c r="G111" s="34">
        <f t="shared" si="4"/>
        <v>1.04</v>
      </c>
      <c r="H111" s="9"/>
    </row>
    <row r="112" spans="1:8" ht="15">
      <c r="A112" s="81"/>
      <c r="B112" s="197"/>
      <c r="C112" s="85"/>
      <c r="D112" s="86"/>
      <c r="E112" s="87" t="s">
        <v>6</v>
      </c>
      <c r="F112" s="82"/>
      <c r="G112" s="83">
        <f>TRUNC(SUM(G104:G111),2)</f>
        <v>70.43</v>
      </c>
      <c r="H112" s="9"/>
    </row>
    <row r="113" spans="1:8" ht="45">
      <c r="A113" s="75" t="s">
        <v>60</v>
      </c>
      <c r="B113" s="198" t="s">
        <v>61</v>
      </c>
      <c r="C113" s="77" t="s">
        <v>21</v>
      </c>
      <c r="D113" s="76" t="s">
        <v>0</v>
      </c>
      <c r="E113" s="78">
        <v>2319.9</v>
      </c>
      <c r="F113" s="102">
        <v>47.75</v>
      </c>
      <c r="G113" s="80">
        <f>TRUNC((E113*F113),2)</f>
        <v>110775.22</v>
      </c>
      <c r="H113" s="9">
        <f>TRUNC((F113*1.2338),2)</f>
        <v>58.91</v>
      </c>
    </row>
    <row r="114" spans="1:7" ht="45">
      <c r="A114" s="199" t="s">
        <v>41</v>
      </c>
      <c r="B114" s="200" t="s">
        <v>461</v>
      </c>
      <c r="C114" s="166" t="s">
        <v>21</v>
      </c>
      <c r="D114" s="165" t="s">
        <v>0</v>
      </c>
      <c r="E114" s="165">
        <v>1</v>
      </c>
      <c r="F114" s="165">
        <f>G124</f>
        <v>51.88</v>
      </c>
      <c r="G114" s="168">
        <f aca="true" t="shared" si="5" ref="G114:G123">TRUNC(E114*F114,2)</f>
        <v>51.88</v>
      </c>
    </row>
    <row r="115" spans="1:7" ht="45">
      <c r="A115" s="169"/>
      <c r="B115" s="201" t="s">
        <v>788</v>
      </c>
      <c r="C115" s="170" t="s">
        <v>789</v>
      </c>
      <c r="D115" s="88" t="s">
        <v>0</v>
      </c>
      <c r="E115" s="88">
        <v>1.0031</v>
      </c>
      <c r="F115" s="88">
        <f>TRUNC(36,2)</f>
        <v>36</v>
      </c>
      <c r="G115" s="172">
        <f t="shared" si="5"/>
        <v>36.11</v>
      </c>
    </row>
    <row r="116" spans="1:7" ht="15">
      <c r="A116" s="169"/>
      <c r="B116" s="201" t="s">
        <v>350</v>
      </c>
      <c r="C116" s="170" t="s">
        <v>348</v>
      </c>
      <c r="D116" s="88" t="s">
        <v>11</v>
      </c>
      <c r="E116" s="88">
        <v>0.0087</v>
      </c>
      <c r="F116" s="88">
        <f>TRUNC(59.66,2)</f>
        <v>59.66</v>
      </c>
      <c r="G116" s="172">
        <f t="shared" si="5"/>
        <v>0.51</v>
      </c>
    </row>
    <row r="117" spans="1:7" ht="30">
      <c r="A117" s="169"/>
      <c r="B117" s="201" t="s">
        <v>22</v>
      </c>
      <c r="C117" s="170" t="s">
        <v>23</v>
      </c>
      <c r="D117" s="88" t="s">
        <v>11</v>
      </c>
      <c r="E117" s="88">
        <v>0.0568</v>
      </c>
      <c r="F117" s="88">
        <f>TRUNC(51.43,2)</f>
        <v>51.43</v>
      </c>
      <c r="G117" s="172">
        <f t="shared" si="5"/>
        <v>2.92</v>
      </c>
    </row>
    <row r="118" spans="1:7" ht="15">
      <c r="A118" s="169"/>
      <c r="B118" s="201" t="s">
        <v>1</v>
      </c>
      <c r="C118" s="170" t="s">
        <v>2</v>
      </c>
      <c r="D118" s="88" t="s">
        <v>3</v>
      </c>
      <c r="E118" s="88">
        <v>0.2531</v>
      </c>
      <c r="F118" s="88">
        <f>TRUNC(21.24,2)</f>
        <v>21.24</v>
      </c>
      <c r="G118" s="172">
        <f t="shared" si="5"/>
        <v>5.37</v>
      </c>
    </row>
    <row r="119" spans="1:7" ht="15">
      <c r="A119" s="169"/>
      <c r="B119" s="201" t="s">
        <v>351</v>
      </c>
      <c r="C119" s="170" t="s">
        <v>349</v>
      </c>
      <c r="D119" s="88" t="s">
        <v>3</v>
      </c>
      <c r="E119" s="88">
        <v>0.2531</v>
      </c>
      <c r="F119" s="88">
        <f>TRUNC(26.8,2)</f>
        <v>26.8</v>
      </c>
      <c r="G119" s="172">
        <f t="shared" si="5"/>
        <v>6.78</v>
      </c>
    </row>
    <row r="120" spans="1:7" ht="60">
      <c r="A120" s="169"/>
      <c r="B120" s="201" t="s">
        <v>352</v>
      </c>
      <c r="C120" s="170" t="s">
        <v>790</v>
      </c>
      <c r="D120" s="88" t="s">
        <v>4</v>
      </c>
      <c r="E120" s="88">
        <v>0.1228</v>
      </c>
      <c r="F120" s="88">
        <f>TRUNC(0.65,2)</f>
        <v>0.65</v>
      </c>
      <c r="G120" s="172">
        <f t="shared" si="5"/>
        <v>0.07</v>
      </c>
    </row>
    <row r="121" spans="1:7" ht="60">
      <c r="A121" s="169"/>
      <c r="B121" s="201" t="s">
        <v>353</v>
      </c>
      <c r="C121" s="170" t="s">
        <v>791</v>
      </c>
      <c r="D121" s="88" t="s">
        <v>5</v>
      </c>
      <c r="E121" s="88">
        <v>0.0037</v>
      </c>
      <c r="F121" s="88">
        <f>TRUNC(11.04,2)</f>
        <v>11.04</v>
      </c>
      <c r="G121" s="172">
        <f t="shared" si="5"/>
        <v>0.04</v>
      </c>
    </row>
    <row r="122" spans="1:7" ht="45">
      <c r="A122" s="169"/>
      <c r="B122" s="201" t="s">
        <v>354</v>
      </c>
      <c r="C122" s="170" t="s">
        <v>792</v>
      </c>
      <c r="D122" s="88" t="s">
        <v>4</v>
      </c>
      <c r="E122" s="88">
        <v>0.1211</v>
      </c>
      <c r="F122" s="88">
        <f>TRUNC(0.56,2)</f>
        <v>0.56</v>
      </c>
      <c r="G122" s="172">
        <f t="shared" si="5"/>
        <v>0.06</v>
      </c>
    </row>
    <row r="123" spans="1:7" ht="45">
      <c r="A123" s="169"/>
      <c r="B123" s="201" t="s">
        <v>24</v>
      </c>
      <c r="C123" s="170" t="s">
        <v>793</v>
      </c>
      <c r="D123" s="88" t="s">
        <v>5</v>
      </c>
      <c r="E123" s="88">
        <v>0.0055</v>
      </c>
      <c r="F123" s="88">
        <f>TRUNC(5.18,2)</f>
        <v>5.18</v>
      </c>
      <c r="G123" s="172">
        <f t="shared" si="5"/>
        <v>0.02</v>
      </c>
    </row>
    <row r="124" spans="1:7" ht="15">
      <c r="A124" s="169"/>
      <c r="B124" s="201"/>
      <c r="C124" s="170"/>
      <c r="D124" s="88"/>
      <c r="E124" s="88" t="s">
        <v>6</v>
      </c>
      <c r="F124" s="88"/>
      <c r="G124" s="172">
        <f>TRUNC(SUM(G115:G123),2)</f>
        <v>51.88</v>
      </c>
    </row>
    <row r="125" spans="1:8" ht="30">
      <c r="A125" s="65" t="s">
        <v>62</v>
      </c>
      <c r="B125" s="202" t="s">
        <v>120</v>
      </c>
      <c r="C125" s="66" t="s">
        <v>63</v>
      </c>
      <c r="D125" s="67" t="s">
        <v>10</v>
      </c>
      <c r="E125" s="68">
        <v>575.56</v>
      </c>
      <c r="F125" s="69">
        <v>37.49</v>
      </c>
      <c r="G125" s="70">
        <f>TRUNC((E125*F125),2)</f>
        <v>21577.74</v>
      </c>
      <c r="H125" s="9">
        <f>TRUNC((F125*1.2338),2)</f>
        <v>46.25</v>
      </c>
    </row>
    <row r="126" spans="1:8" ht="45">
      <c r="A126" s="51" t="s">
        <v>41</v>
      </c>
      <c r="B126" s="52" t="s">
        <v>120</v>
      </c>
      <c r="C126" s="35" t="s">
        <v>462</v>
      </c>
      <c r="D126" s="36" t="s">
        <v>10</v>
      </c>
      <c r="E126" s="203">
        <v>1</v>
      </c>
      <c r="F126" s="37">
        <f>G133</f>
        <v>38.01</v>
      </c>
      <c r="G126" s="38">
        <f aca="true" t="shared" si="6" ref="G126:G132">TRUNC(E126*F126,2)</f>
        <v>38.01</v>
      </c>
      <c r="H126" s="9"/>
    </row>
    <row r="127" spans="1:8" ht="30">
      <c r="A127" s="60"/>
      <c r="B127" s="61" t="s">
        <v>7</v>
      </c>
      <c r="C127" s="31" t="s">
        <v>8</v>
      </c>
      <c r="D127" s="32" t="s">
        <v>3</v>
      </c>
      <c r="E127" s="204">
        <v>0.0927</v>
      </c>
      <c r="F127" s="33">
        <f>TRUNC(14.47,2)</f>
        <v>14.47</v>
      </c>
      <c r="G127" s="34">
        <f t="shared" si="6"/>
        <v>1.34</v>
      </c>
      <c r="H127" s="9"/>
    </row>
    <row r="128" spans="1:8" ht="15">
      <c r="A128" s="60"/>
      <c r="B128" s="61" t="s">
        <v>463</v>
      </c>
      <c r="C128" s="31" t="s">
        <v>464</v>
      </c>
      <c r="D128" s="32" t="s">
        <v>11</v>
      </c>
      <c r="E128" s="204">
        <v>0.025</v>
      </c>
      <c r="F128" s="33">
        <f>TRUNC(65.7793,2)</f>
        <v>65.77</v>
      </c>
      <c r="G128" s="34">
        <f t="shared" si="6"/>
        <v>1.64</v>
      </c>
      <c r="H128" s="9"/>
    </row>
    <row r="129" spans="1:8" ht="15">
      <c r="A129" s="60"/>
      <c r="B129" s="61" t="s">
        <v>465</v>
      </c>
      <c r="C129" s="31" t="s">
        <v>466</v>
      </c>
      <c r="D129" s="32" t="s">
        <v>11</v>
      </c>
      <c r="E129" s="204">
        <v>0.025</v>
      </c>
      <c r="F129" s="33">
        <f>TRUNC(73.0642,2)</f>
        <v>73.06</v>
      </c>
      <c r="G129" s="34">
        <f t="shared" si="6"/>
        <v>1.82</v>
      </c>
      <c r="H129" s="9"/>
    </row>
    <row r="130" spans="1:8" ht="15">
      <c r="A130" s="60"/>
      <c r="B130" s="61" t="s">
        <v>467</v>
      </c>
      <c r="C130" s="31" t="s">
        <v>468</v>
      </c>
      <c r="D130" s="32" t="s">
        <v>0</v>
      </c>
      <c r="E130" s="204">
        <v>0.5</v>
      </c>
      <c r="F130" s="33">
        <f>TRUNC(55.5435,2)</f>
        <v>55.54</v>
      </c>
      <c r="G130" s="34">
        <f t="shared" si="6"/>
        <v>27.77</v>
      </c>
      <c r="H130" s="9"/>
    </row>
    <row r="131" spans="1:8" ht="15">
      <c r="A131" s="60"/>
      <c r="B131" s="61" t="s">
        <v>121</v>
      </c>
      <c r="C131" s="31" t="s">
        <v>122</v>
      </c>
      <c r="D131" s="32" t="s">
        <v>11</v>
      </c>
      <c r="E131" s="204">
        <v>0.025</v>
      </c>
      <c r="F131" s="33">
        <f>TRUNC(209.7567,2)</f>
        <v>209.75</v>
      </c>
      <c r="G131" s="34">
        <f t="shared" si="6"/>
        <v>5.24</v>
      </c>
      <c r="H131" s="9"/>
    </row>
    <row r="132" spans="1:8" ht="15">
      <c r="A132" s="60"/>
      <c r="B132" s="61" t="s">
        <v>469</v>
      </c>
      <c r="C132" s="31" t="s">
        <v>470</v>
      </c>
      <c r="D132" s="32" t="s">
        <v>11</v>
      </c>
      <c r="E132" s="204">
        <v>0.0008</v>
      </c>
      <c r="F132" s="33">
        <f>TRUNC(262.1498,2)</f>
        <v>262.14</v>
      </c>
      <c r="G132" s="34">
        <f t="shared" si="6"/>
        <v>0.2</v>
      </c>
      <c r="H132" s="9"/>
    </row>
    <row r="133" spans="1:8" ht="15">
      <c r="A133" s="60"/>
      <c r="B133" s="61"/>
      <c r="C133" s="31"/>
      <c r="D133" s="32"/>
      <c r="E133" s="204" t="s">
        <v>6</v>
      </c>
      <c r="F133" s="33"/>
      <c r="G133" s="34">
        <f>TRUNC(SUM(G127:G132),2)</f>
        <v>38.01</v>
      </c>
      <c r="H133" s="9"/>
    </row>
    <row r="134" spans="1:8" ht="45">
      <c r="A134" s="65" t="s">
        <v>747</v>
      </c>
      <c r="B134" s="202" t="s">
        <v>748</v>
      </c>
      <c r="C134" s="66" t="s">
        <v>754</v>
      </c>
      <c r="D134" s="67" t="s">
        <v>0</v>
      </c>
      <c r="E134" s="68">
        <v>385.89</v>
      </c>
      <c r="F134" s="69">
        <v>26.1</v>
      </c>
      <c r="G134" s="70">
        <f>TRUNC((E134*F134),2)</f>
        <v>10071.72</v>
      </c>
      <c r="H134" s="9">
        <f>TRUNC((F134*1.2338),2)</f>
        <v>32.2</v>
      </c>
    </row>
    <row r="135" spans="1:8" ht="60">
      <c r="A135" s="51" t="s">
        <v>41</v>
      </c>
      <c r="B135" s="52" t="s">
        <v>748</v>
      </c>
      <c r="C135" s="35" t="s">
        <v>749</v>
      </c>
      <c r="D135" s="36" t="s">
        <v>0</v>
      </c>
      <c r="E135" s="203">
        <v>1</v>
      </c>
      <c r="F135" s="37">
        <f>G140</f>
        <v>25.47</v>
      </c>
      <c r="G135" s="38">
        <f>TRUNC(E135*F135,2)</f>
        <v>25.47</v>
      </c>
      <c r="H135" s="9"/>
    </row>
    <row r="136" spans="1:8" ht="30">
      <c r="A136" s="60"/>
      <c r="B136" s="61" t="s">
        <v>7</v>
      </c>
      <c r="C136" s="31" t="s">
        <v>8</v>
      </c>
      <c r="D136" s="32" t="s">
        <v>3</v>
      </c>
      <c r="E136" s="204">
        <v>0.41200000000000003</v>
      </c>
      <c r="F136" s="33">
        <v>14.47</v>
      </c>
      <c r="G136" s="34">
        <f>E136*F136</f>
        <v>5.961640000000001</v>
      </c>
      <c r="H136" s="9"/>
    </row>
    <row r="137" spans="1:8" ht="15">
      <c r="A137" s="60"/>
      <c r="B137" s="61" t="s">
        <v>135</v>
      </c>
      <c r="C137" s="31" t="s">
        <v>136</v>
      </c>
      <c r="D137" s="32" t="s">
        <v>3</v>
      </c>
      <c r="E137" s="204">
        <v>0.41200000000000003</v>
      </c>
      <c r="F137" s="33">
        <v>19.97</v>
      </c>
      <c r="G137" s="34">
        <f>E137*F137</f>
        <v>8.227640000000001</v>
      </c>
      <c r="H137" s="9"/>
    </row>
    <row r="138" spans="1:8" ht="30">
      <c r="A138" s="60"/>
      <c r="B138" s="61" t="s">
        <v>750</v>
      </c>
      <c r="C138" s="31" t="s">
        <v>751</v>
      </c>
      <c r="D138" s="32" t="s">
        <v>11</v>
      </c>
      <c r="E138" s="204">
        <v>0.02625</v>
      </c>
      <c r="F138" s="33">
        <v>242.2927</v>
      </c>
      <c r="G138" s="34">
        <f>E138*F138</f>
        <v>6.360183375</v>
      </c>
      <c r="H138" s="9"/>
    </row>
    <row r="139" spans="1:8" ht="30">
      <c r="A139" s="60"/>
      <c r="B139" s="61" t="s">
        <v>752</v>
      </c>
      <c r="C139" s="31" t="s">
        <v>753</v>
      </c>
      <c r="D139" s="32" t="s">
        <v>0</v>
      </c>
      <c r="E139" s="204">
        <v>1</v>
      </c>
      <c r="F139" s="33">
        <v>4.9207</v>
      </c>
      <c r="G139" s="34">
        <f>E139*F139</f>
        <v>4.9207</v>
      </c>
      <c r="H139" s="9"/>
    </row>
    <row r="140" spans="1:8" ht="15">
      <c r="A140" s="81"/>
      <c r="B140" s="100"/>
      <c r="C140" s="85"/>
      <c r="D140" s="86"/>
      <c r="E140" s="309" t="s">
        <v>6</v>
      </c>
      <c r="F140" s="82"/>
      <c r="G140" s="83">
        <f>TRUNC(SUM(G136:G139),2)</f>
        <v>25.47</v>
      </c>
      <c r="H140" s="9"/>
    </row>
    <row r="141" spans="1:8" ht="30">
      <c r="A141" s="65" t="s">
        <v>801</v>
      </c>
      <c r="B141" s="202" t="s">
        <v>802</v>
      </c>
      <c r="C141" s="66" t="s">
        <v>803</v>
      </c>
      <c r="D141" s="67" t="s">
        <v>10</v>
      </c>
      <c r="E141" s="68">
        <v>417.37</v>
      </c>
      <c r="F141" s="69">
        <v>33.3</v>
      </c>
      <c r="G141" s="70">
        <f>TRUNC((E141*F141),2)</f>
        <v>13898.42</v>
      </c>
      <c r="H141" s="9">
        <f>TRUNC((F141*1.2338),2)</f>
        <v>41.08</v>
      </c>
    </row>
    <row r="142" spans="1:8" ht="30">
      <c r="A142" s="51" t="s">
        <v>41</v>
      </c>
      <c r="B142" s="52" t="s">
        <v>802</v>
      </c>
      <c r="C142" s="35" t="s">
        <v>803</v>
      </c>
      <c r="D142" s="36" t="s">
        <v>10</v>
      </c>
      <c r="E142" s="203">
        <v>1</v>
      </c>
      <c r="F142" s="37">
        <f>G149</f>
        <v>33.08</v>
      </c>
      <c r="G142" s="38">
        <f aca="true" t="shared" si="7" ref="G142:G148">TRUNC(E142*F142,2)</f>
        <v>33.08</v>
      </c>
      <c r="H142" s="9"/>
    </row>
    <row r="143" spans="1:8" ht="30">
      <c r="A143" s="60"/>
      <c r="B143" s="61" t="s">
        <v>804</v>
      </c>
      <c r="C143" s="31" t="s">
        <v>805</v>
      </c>
      <c r="D143" s="32" t="s">
        <v>11</v>
      </c>
      <c r="E143" s="204">
        <v>0.037</v>
      </c>
      <c r="F143" s="33">
        <f>TRUNC(253.7,2)</f>
        <v>253.7</v>
      </c>
      <c r="G143" s="34">
        <f t="shared" si="7"/>
        <v>9.38</v>
      </c>
      <c r="H143" s="9"/>
    </row>
    <row r="144" spans="1:8" ht="30">
      <c r="A144" s="60"/>
      <c r="B144" s="61" t="s">
        <v>806</v>
      </c>
      <c r="C144" s="31" t="s">
        <v>807</v>
      </c>
      <c r="D144" s="32" t="s">
        <v>10</v>
      </c>
      <c r="E144" s="204">
        <v>0.083</v>
      </c>
      <c r="F144" s="33">
        <f>TRUNC(12.34,2)</f>
        <v>12.34</v>
      </c>
      <c r="G144" s="34">
        <f t="shared" si="7"/>
        <v>1.02</v>
      </c>
      <c r="H144" s="9"/>
    </row>
    <row r="145" spans="1:8" ht="30">
      <c r="A145" s="60"/>
      <c r="B145" s="61" t="s">
        <v>808</v>
      </c>
      <c r="C145" s="31" t="s">
        <v>809</v>
      </c>
      <c r="D145" s="32" t="s">
        <v>10</v>
      </c>
      <c r="E145" s="204">
        <v>0.2</v>
      </c>
      <c r="F145" s="33">
        <f>TRUNC(1.5,2)</f>
        <v>1.5</v>
      </c>
      <c r="G145" s="34">
        <f t="shared" si="7"/>
        <v>0.3</v>
      </c>
      <c r="H145" s="9"/>
    </row>
    <row r="146" spans="1:8" ht="30">
      <c r="A146" s="60"/>
      <c r="B146" s="61" t="s">
        <v>22</v>
      </c>
      <c r="C146" s="31" t="s">
        <v>23</v>
      </c>
      <c r="D146" s="32" t="s">
        <v>11</v>
      </c>
      <c r="E146" s="204">
        <v>0.01</v>
      </c>
      <c r="F146" s="33">
        <f>TRUNC(51.43,2)</f>
        <v>51.43</v>
      </c>
      <c r="G146" s="34">
        <f t="shared" si="7"/>
        <v>0.51</v>
      </c>
      <c r="H146" s="9"/>
    </row>
    <row r="147" spans="1:8" ht="15">
      <c r="A147" s="60"/>
      <c r="B147" s="61" t="s">
        <v>1</v>
      </c>
      <c r="C147" s="31" t="s">
        <v>2</v>
      </c>
      <c r="D147" s="32" t="s">
        <v>3</v>
      </c>
      <c r="E147" s="204">
        <v>0.454</v>
      </c>
      <c r="F147" s="33">
        <f>TRUNC(21.24,2)</f>
        <v>21.24</v>
      </c>
      <c r="G147" s="34">
        <f t="shared" si="7"/>
        <v>9.64</v>
      </c>
      <c r="H147" s="9"/>
    </row>
    <row r="148" spans="1:8" ht="15">
      <c r="A148" s="60"/>
      <c r="B148" s="61" t="s">
        <v>166</v>
      </c>
      <c r="C148" s="31" t="s">
        <v>53</v>
      </c>
      <c r="D148" s="32" t="s">
        <v>3</v>
      </c>
      <c r="E148" s="204">
        <v>0.454</v>
      </c>
      <c r="F148" s="33">
        <f>TRUNC(26.95,2)</f>
        <v>26.95</v>
      </c>
      <c r="G148" s="34">
        <f t="shared" si="7"/>
        <v>12.23</v>
      </c>
      <c r="H148" s="9"/>
    </row>
    <row r="149" spans="1:8" ht="15">
      <c r="A149" s="60"/>
      <c r="B149" s="61"/>
      <c r="C149" s="31"/>
      <c r="D149" s="32"/>
      <c r="E149" s="204" t="s">
        <v>6</v>
      </c>
      <c r="F149" s="33"/>
      <c r="G149" s="34">
        <f>TRUNC(SUM(G143:G148),2)</f>
        <v>33.08</v>
      </c>
      <c r="H149" s="9"/>
    </row>
    <row r="150" spans="1:8" ht="15.75">
      <c r="A150" s="40" t="s">
        <v>41</v>
      </c>
      <c r="B150" s="73"/>
      <c r="C150" s="41"/>
      <c r="D150" s="42"/>
      <c r="E150" s="377" t="s">
        <v>65</v>
      </c>
      <c r="F150" s="377"/>
      <c r="G150" s="43">
        <f>G102+G113+G125+G134+G141</f>
        <v>172652.87000000002</v>
      </c>
      <c r="H150" s="9"/>
    </row>
    <row r="151" spans="1:8" ht="15.75">
      <c r="A151" s="44" t="s">
        <v>66</v>
      </c>
      <c r="B151" s="44"/>
      <c r="C151" s="45" t="s">
        <v>146</v>
      </c>
      <c r="D151" s="149"/>
      <c r="E151" s="46"/>
      <c r="F151" s="47"/>
      <c r="G151" s="48"/>
      <c r="H151" s="9"/>
    </row>
    <row r="152" spans="1:8" ht="75">
      <c r="A152" s="49" t="s">
        <v>68</v>
      </c>
      <c r="B152" s="25" t="s">
        <v>163</v>
      </c>
      <c r="C152" s="24" t="s">
        <v>162</v>
      </c>
      <c r="D152" s="25" t="s">
        <v>11</v>
      </c>
      <c r="E152" s="64">
        <v>485.97</v>
      </c>
      <c r="F152" s="98">
        <v>6.25</v>
      </c>
      <c r="G152" s="39">
        <f>TRUNC((E152*F152),2)</f>
        <v>3037.31</v>
      </c>
      <c r="H152" s="9">
        <f>TRUNC((F152*1.2338),2)</f>
        <v>7.71</v>
      </c>
    </row>
    <row r="153" spans="1:8" ht="75">
      <c r="A153" s="51" t="s">
        <v>64</v>
      </c>
      <c r="B153" s="36" t="s">
        <v>163</v>
      </c>
      <c r="C153" s="35" t="s">
        <v>162</v>
      </c>
      <c r="D153" s="36" t="s">
        <v>11</v>
      </c>
      <c r="E153" s="53">
        <v>1</v>
      </c>
      <c r="F153" s="37">
        <f>G157</f>
        <v>6.29</v>
      </c>
      <c r="G153" s="38">
        <f>TRUNC(E153*F153,2)</f>
        <v>6.29</v>
      </c>
      <c r="H153" s="96"/>
    </row>
    <row r="154" spans="1:8" ht="15">
      <c r="A154" s="60"/>
      <c r="B154" s="32" t="s">
        <v>1</v>
      </c>
      <c r="C154" s="31" t="s">
        <v>2</v>
      </c>
      <c r="D154" s="32" t="s">
        <v>3</v>
      </c>
      <c r="E154" s="62">
        <v>0.0666</v>
      </c>
      <c r="F154" s="33">
        <f>TRUNC(21.24,2)</f>
        <v>21.24</v>
      </c>
      <c r="G154" s="34">
        <f>TRUNC(E154*F154,2)</f>
        <v>1.41</v>
      </c>
      <c r="H154" s="96"/>
    </row>
    <row r="155" spans="1:8" ht="60">
      <c r="A155" s="60"/>
      <c r="B155" s="32" t="s">
        <v>164</v>
      </c>
      <c r="C155" s="31" t="s">
        <v>767</v>
      </c>
      <c r="D155" s="32" t="s">
        <v>4</v>
      </c>
      <c r="E155" s="62">
        <v>0.0365</v>
      </c>
      <c r="F155" s="33">
        <f>TRUNC(45.33,2)</f>
        <v>45.33</v>
      </c>
      <c r="G155" s="34">
        <f>TRUNC(E155*F155,2)</f>
        <v>1.65</v>
      </c>
      <c r="H155" s="96"/>
    </row>
    <row r="156" spans="1:8" ht="60">
      <c r="A156" s="60"/>
      <c r="B156" s="32" t="s">
        <v>165</v>
      </c>
      <c r="C156" s="31" t="s">
        <v>768</v>
      </c>
      <c r="D156" s="32" t="s">
        <v>5</v>
      </c>
      <c r="E156" s="62">
        <v>0.0302</v>
      </c>
      <c r="F156" s="33">
        <f>TRUNC(106.96,2)</f>
        <v>106.96</v>
      </c>
      <c r="G156" s="34">
        <f>TRUNC(E156*F156,2)</f>
        <v>3.23</v>
      </c>
      <c r="H156" s="96"/>
    </row>
    <row r="157" spans="1:10" ht="15">
      <c r="A157" s="81"/>
      <c r="B157" s="86"/>
      <c r="C157" s="85"/>
      <c r="D157" s="86"/>
      <c r="E157" s="87" t="s">
        <v>6</v>
      </c>
      <c r="F157" s="82"/>
      <c r="G157" s="83">
        <f>TRUNC(SUM(G154:G156),2)</f>
        <v>6.29</v>
      </c>
      <c r="H157" s="96"/>
      <c r="J157" s="205"/>
    </row>
    <row r="158" spans="1:8" ht="60">
      <c r="A158" s="63" t="s">
        <v>69</v>
      </c>
      <c r="B158" s="28" t="s">
        <v>976</v>
      </c>
      <c r="C158" s="27" t="s">
        <v>977</v>
      </c>
      <c r="D158" s="28" t="s">
        <v>11</v>
      </c>
      <c r="E158" s="64">
        <v>332.71</v>
      </c>
      <c r="F158" s="29">
        <f>F159</f>
        <v>16.23</v>
      </c>
      <c r="G158" s="30">
        <f>TRUNC((E158*F158),2)</f>
        <v>5399.88</v>
      </c>
      <c r="H158" s="9"/>
    </row>
    <row r="159" spans="1:8" ht="60">
      <c r="A159" s="60"/>
      <c r="B159" s="32" t="s">
        <v>976</v>
      </c>
      <c r="C159" s="31" t="s">
        <v>977</v>
      </c>
      <c r="D159" s="32" t="s">
        <v>11</v>
      </c>
      <c r="E159" s="62">
        <v>1</v>
      </c>
      <c r="F159" s="33">
        <f>G166</f>
        <v>16.23</v>
      </c>
      <c r="G159" s="34">
        <f aca="true" t="shared" si="8" ref="G159:G165">TRUNC(E159*F159,2)</f>
        <v>16.23</v>
      </c>
      <c r="H159" s="96"/>
    </row>
    <row r="160" spans="1:8" ht="15">
      <c r="A160" s="60"/>
      <c r="B160" s="32" t="s">
        <v>906</v>
      </c>
      <c r="C160" s="31" t="s">
        <v>2</v>
      </c>
      <c r="D160" s="32" t="s">
        <v>3</v>
      </c>
      <c r="E160" s="62">
        <v>0.028</v>
      </c>
      <c r="F160" s="33">
        <f>TRUNC(21.25,2)</f>
        <v>21.25</v>
      </c>
      <c r="G160" s="34">
        <f t="shared" si="8"/>
        <v>0.59</v>
      </c>
      <c r="H160" s="96"/>
    </row>
    <row r="161" spans="1:8" ht="30">
      <c r="A161" s="60"/>
      <c r="B161" s="32" t="s">
        <v>965</v>
      </c>
      <c r="C161" s="31" t="s">
        <v>966</v>
      </c>
      <c r="D161" s="32" t="s">
        <v>11</v>
      </c>
      <c r="E161" s="62">
        <v>1</v>
      </c>
      <c r="F161" s="33">
        <f>TRUNC(1.3,2)</f>
        <v>1.3</v>
      </c>
      <c r="G161" s="34">
        <f t="shared" si="8"/>
        <v>1.3</v>
      </c>
      <c r="H161" s="96"/>
    </row>
    <row r="162" spans="1:8" ht="30">
      <c r="A162" s="60"/>
      <c r="B162" s="32" t="s">
        <v>967</v>
      </c>
      <c r="C162" s="31" t="s">
        <v>968</v>
      </c>
      <c r="D162" s="32" t="s">
        <v>4</v>
      </c>
      <c r="E162" s="62">
        <v>0.147</v>
      </c>
      <c r="F162" s="33">
        <f>TRUNC(29.12,2)</f>
        <v>29.12</v>
      </c>
      <c r="G162" s="34">
        <f t="shared" si="8"/>
        <v>4.28</v>
      </c>
      <c r="H162" s="96"/>
    </row>
    <row r="163" spans="1:8" ht="30">
      <c r="A163" s="60"/>
      <c r="B163" s="32" t="s">
        <v>969</v>
      </c>
      <c r="C163" s="31" t="s">
        <v>970</v>
      </c>
      <c r="D163" s="32" t="s">
        <v>5</v>
      </c>
      <c r="E163" s="62">
        <v>0.158</v>
      </c>
      <c r="F163" s="33">
        <f>TRUNC(32.83,2)</f>
        <v>32.83</v>
      </c>
      <c r="G163" s="34">
        <f t="shared" si="8"/>
        <v>5.18</v>
      </c>
      <c r="H163" s="96"/>
    </row>
    <row r="164" spans="1:8" ht="60">
      <c r="A164" s="60"/>
      <c r="B164" s="32" t="s">
        <v>971</v>
      </c>
      <c r="C164" s="31" t="s">
        <v>972</v>
      </c>
      <c r="D164" s="32" t="s">
        <v>4</v>
      </c>
      <c r="E164" s="62">
        <v>0.039</v>
      </c>
      <c r="F164" s="33">
        <f>TRUNC(44.79,2)</f>
        <v>44.79</v>
      </c>
      <c r="G164" s="34">
        <f t="shared" si="8"/>
        <v>1.74</v>
      </c>
      <c r="H164" s="96"/>
    </row>
    <row r="165" spans="1:8" ht="60">
      <c r="A165" s="60"/>
      <c r="B165" s="32" t="s">
        <v>973</v>
      </c>
      <c r="C165" s="31" t="s">
        <v>974</v>
      </c>
      <c r="D165" s="32" t="s">
        <v>5</v>
      </c>
      <c r="E165" s="62">
        <v>0.03</v>
      </c>
      <c r="F165" s="33">
        <f>TRUNC(104.85,2)</f>
        <v>104.85</v>
      </c>
      <c r="G165" s="34">
        <f t="shared" si="8"/>
        <v>3.14</v>
      </c>
      <c r="H165" s="96"/>
    </row>
    <row r="166" spans="1:8" ht="15">
      <c r="A166" s="60"/>
      <c r="B166" s="32"/>
      <c r="C166" s="31"/>
      <c r="D166" s="32"/>
      <c r="E166" s="62" t="s">
        <v>6</v>
      </c>
      <c r="F166" s="33"/>
      <c r="G166" s="34">
        <f>TRUNC(SUM(G160:G165),2)</f>
        <v>16.23</v>
      </c>
      <c r="H166" s="96"/>
    </row>
    <row r="167" spans="1:9" ht="45">
      <c r="A167" s="65" t="s">
        <v>71</v>
      </c>
      <c r="B167" s="67" t="s">
        <v>147</v>
      </c>
      <c r="C167" s="66" t="s">
        <v>148</v>
      </c>
      <c r="D167" s="67" t="s">
        <v>10</v>
      </c>
      <c r="E167" s="68">
        <v>33</v>
      </c>
      <c r="F167" s="97">
        <v>44.7</v>
      </c>
      <c r="G167" s="70">
        <f>TRUNC((E167*F167),2)</f>
        <v>1475.1</v>
      </c>
      <c r="H167" s="91">
        <f>TRUNC((F167*1.2338),2)</f>
        <v>55.15</v>
      </c>
      <c r="I167" s="1" t="s">
        <v>471</v>
      </c>
    </row>
    <row r="168" spans="1:8" ht="45">
      <c r="A168" s="51" t="s">
        <v>64</v>
      </c>
      <c r="B168" s="36" t="s">
        <v>147</v>
      </c>
      <c r="C168" s="35" t="s">
        <v>148</v>
      </c>
      <c r="D168" s="36" t="s">
        <v>10</v>
      </c>
      <c r="E168" s="53">
        <v>1</v>
      </c>
      <c r="F168" s="37">
        <f>G173</f>
        <v>48.19</v>
      </c>
      <c r="G168" s="38">
        <f>TRUNC(E168*F168,2)</f>
        <v>48.19</v>
      </c>
      <c r="H168" s="96" t="s">
        <v>126</v>
      </c>
    </row>
    <row r="169" spans="1:8" ht="15">
      <c r="A169" s="60"/>
      <c r="B169" s="32" t="s">
        <v>149</v>
      </c>
      <c r="C169" s="31" t="s">
        <v>150</v>
      </c>
      <c r="D169" s="32" t="s">
        <v>10</v>
      </c>
      <c r="E169" s="62">
        <v>1.05</v>
      </c>
      <c r="F169" s="33">
        <v>42.31</v>
      </c>
      <c r="G169" s="34">
        <f>TRUNC(E169*F169,2)</f>
        <v>44.42</v>
      </c>
      <c r="H169" s="96"/>
    </row>
    <row r="170" spans="1:8" ht="30">
      <c r="A170" s="60"/>
      <c r="B170" s="32" t="s">
        <v>151</v>
      </c>
      <c r="C170" s="31" t="s">
        <v>152</v>
      </c>
      <c r="D170" s="32" t="s">
        <v>9</v>
      </c>
      <c r="E170" s="62">
        <v>0.0146</v>
      </c>
      <c r="F170" s="33">
        <v>19.84</v>
      </c>
      <c r="G170" s="34">
        <f>TRUNC(E170*F170,2)</f>
        <v>0.28</v>
      </c>
      <c r="H170" s="96"/>
    </row>
    <row r="171" spans="1:8" ht="15">
      <c r="A171" s="60"/>
      <c r="B171" s="32" t="s">
        <v>1</v>
      </c>
      <c r="C171" s="31" t="s">
        <v>2</v>
      </c>
      <c r="D171" s="32" t="s">
        <v>3</v>
      </c>
      <c r="E171" s="62">
        <v>0.073</v>
      </c>
      <c r="F171" s="33">
        <f>TRUNC(21.24,2)</f>
        <v>21.24</v>
      </c>
      <c r="G171" s="34">
        <f>TRUNC(E171*F171,2)</f>
        <v>1.55</v>
      </c>
      <c r="H171" s="96"/>
    </row>
    <row r="172" spans="1:8" ht="15">
      <c r="A172" s="60"/>
      <c r="B172" s="32" t="s">
        <v>145</v>
      </c>
      <c r="C172" s="31" t="s">
        <v>78</v>
      </c>
      <c r="D172" s="32" t="s">
        <v>3</v>
      </c>
      <c r="E172" s="62">
        <v>0.073</v>
      </c>
      <c r="F172" s="33">
        <f>TRUNC(26.63,2)</f>
        <v>26.63</v>
      </c>
      <c r="G172" s="34">
        <f>TRUNC(E172*F172,2)</f>
        <v>1.94</v>
      </c>
      <c r="H172" s="96"/>
    </row>
    <row r="173" spans="1:8" ht="15">
      <c r="A173" s="81"/>
      <c r="B173" s="86"/>
      <c r="C173" s="85"/>
      <c r="D173" s="86"/>
      <c r="E173" s="87" t="s">
        <v>6</v>
      </c>
      <c r="F173" s="82"/>
      <c r="G173" s="83">
        <f>TRUNC(SUM(G169:G172),2)</f>
        <v>48.19</v>
      </c>
      <c r="H173" s="96"/>
    </row>
    <row r="174" spans="1:8" ht="60">
      <c r="A174" s="60"/>
      <c r="B174" s="32" t="s">
        <v>472</v>
      </c>
      <c r="C174" s="31" t="s">
        <v>473</v>
      </c>
      <c r="D174" s="32" t="s">
        <v>10</v>
      </c>
      <c r="E174" s="62">
        <v>1</v>
      </c>
      <c r="F174" s="33">
        <f>G179</f>
        <v>43.22</v>
      </c>
      <c r="G174" s="34">
        <f>TRUNC(E174*F174,2)</f>
        <v>43.22</v>
      </c>
      <c r="H174" s="96"/>
    </row>
    <row r="175" spans="1:8" ht="30">
      <c r="A175" s="60"/>
      <c r="B175" s="32" t="s">
        <v>474</v>
      </c>
      <c r="C175" s="31" t="s">
        <v>475</v>
      </c>
      <c r="D175" s="32" t="s">
        <v>9</v>
      </c>
      <c r="E175" s="62">
        <v>0.1925</v>
      </c>
      <c r="F175" s="33">
        <f>TRUNC(137.9322,2)</f>
        <v>137.93</v>
      </c>
      <c r="G175" s="34">
        <f>TRUNC(E175*F175,2)</f>
        <v>26.55</v>
      </c>
      <c r="H175" s="96"/>
    </row>
    <row r="176" spans="1:8" ht="15">
      <c r="A176" s="60"/>
      <c r="B176" s="32" t="s">
        <v>343</v>
      </c>
      <c r="C176" s="31" t="s">
        <v>344</v>
      </c>
      <c r="D176" s="32" t="s">
        <v>9</v>
      </c>
      <c r="E176" s="62">
        <v>0.44000000000000006</v>
      </c>
      <c r="F176" s="33">
        <f>TRUNC(3.27,2)</f>
        <v>3.27</v>
      </c>
      <c r="G176" s="34">
        <f>TRUNC(E176*F176,2)</f>
        <v>1.43</v>
      </c>
      <c r="H176" s="96"/>
    </row>
    <row r="177" spans="1:8" ht="30">
      <c r="A177" s="60"/>
      <c r="B177" s="32" t="s">
        <v>7</v>
      </c>
      <c r="C177" s="31" t="s">
        <v>8</v>
      </c>
      <c r="D177" s="32" t="s">
        <v>3</v>
      </c>
      <c r="E177" s="62">
        <v>0.4429</v>
      </c>
      <c r="F177" s="33">
        <f>TRUNC(14.47,2)</f>
        <v>14.47</v>
      </c>
      <c r="G177" s="34">
        <f>TRUNC(E177*F177,2)</f>
        <v>6.4</v>
      </c>
      <c r="H177" s="96"/>
    </row>
    <row r="178" spans="1:8" ht="30">
      <c r="A178" s="60"/>
      <c r="B178" s="32" t="s">
        <v>137</v>
      </c>
      <c r="C178" s="31" t="s">
        <v>138</v>
      </c>
      <c r="D178" s="32" t="s">
        <v>3</v>
      </c>
      <c r="E178" s="62">
        <v>0.4429</v>
      </c>
      <c r="F178" s="33">
        <f>TRUNC(19.97,2)</f>
        <v>19.97</v>
      </c>
      <c r="G178" s="34">
        <f>TRUNC(E178*F178,2)</f>
        <v>8.84</v>
      </c>
      <c r="H178" s="96"/>
    </row>
    <row r="179" spans="1:8" ht="15">
      <c r="A179" s="60"/>
      <c r="B179" s="32"/>
      <c r="C179" s="31"/>
      <c r="D179" s="32"/>
      <c r="E179" s="62" t="s">
        <v>6</v>
      </c>
      <c r="F179" s="33"/>
      <c r="G179" s="34">
        <f>TRUNC(SUM(G175:G178),2)</f>
        <v>43.22</v>
      </c>
      <c r="H179" s="96"/>
    </row>
    <row r="180" spans="1:9" ht="45">
      <c r="A180" s="65" t="s">
        <v>248</v>
      </c>
      <c r="B180" s="67" t="s">
        <v>153</v>
      </c>
      <c r="C180" s="66" t="s">
        <v>154</v>
      </c>
      <c r="D180" s="67" t="s">
        <v>10</v>
      </c>
      <c r="E180" s="68">
        <v>147.06</v>
      </c>
      <c r="F180" s="97">
        <v>66.06</v>
      </c>
      <c r="G180" s="70">
        <f>TRUNC((E180*F180),2)</f>
        <v>9714.78</v>
      </c>
      <c r="H180" s="9">
        <f>TRUNC((F180*1.2338),2)</f>
        <v>81.5</v>
      </c>
      <c r="I180" s="1" t="s">
        <v>471</v>
      </c>
    </row>
    <row r="181" spans="1:8" ht="45">
      <c r="A181" s="51" t="s">
        <v>64</v>
      </c>
      <c r="B181" s="36" t="s">
        <v>153</v>
      </c>
      <c r="C181" s="35" t="s">
        <v>154</v>
      </c>
      <c r="D181" s="36" t="s">
        <v>10</v>
      </c>
      <c r="E181" s="53">
        <v>1</v>
      </c>
      <c r="F181" s="37">
        <f>G186</f>
        <v>71.15</v>
      </c>
      <c r="G181" s="38">
        <f>TRUNC(E181*F181,2)</f>
        <v>71.15</v>
      </c>
      <c r="H181" s="96" t="s">
        <v>126</v>
      </c>
    </row>
    <row r="182" spans="1:8" ht="15">
      <c r="A182" s="60"/>
      <c r="B182" s="32" t="s">
        <v>476</v>
      </c>
      <c r="C182" s="31" t="s">
        <v>477</v>
      </c>
      <c r="D182" s="32" t="s">
        <v>10</v>
      </c>
      <c r="E182" s="62">
        <v>1.05</v>
      </c>
      <c r="F182" s="33">
        <v>63.51</v>
      </c>
      <c r="G182" s="34">
        <f>TRUNC(E182*F182,2)</f>
        <v>66.68</v>
      </c>
      <c r="H182" s="96"/>
    </row>
    <row r="183" spans="1:8" ht="30">
      <c r="A183" s="60"/>
      <c r="B183" s="32" t="s">
        <v>151</v>
      </c>
      <c r="C183" s="31" t="s">
        <v>152</v>
      </c>
      <c r="D183" s="32" t="s">
        <v>9</v>
      </c>
      <c r="E183" s="62">
        <v>0.0167</v>
      </c>
      <c r="F183" s="33">
        <v>19.84</v>
      </c>
      <c r="G183" s="34">
        <f>TRUNC(E183*F183,2)</f>
        <v>0.33</v>
      </c>
      <c r="H183" s="96"/>
    </row>
    <row r="184" spans="1:8" ht="15">
      <c r="A184" s="60"/>
      <c r="B184" s="32" t="s">
        <v>1</v>
      </c>
      <c r="C184" s="31" t="s">
        <v>2</v>
      </c>
      <c r="D184" s="32" t="s">
        <v>3</v>
      </c>
      <c r="E184" s="62">
        <v>0.0867</v>
      </c>
      <c r="F184" s="33">
        <f>TRUNC(21.24,2)</f>
        <v>21.24</v>
      </c>
      <c r="G184" s="34">
        <f>TRUNC(E184*F184,2)</f>
        <v>1.84</v>
      </c>
      <c r="H184" s="96"/>
    </row>
    <row r="185" spans="1:8" ht="15">
      <c r="A185" s="60"/>
      <c r="B185" s="32" t="s">
        <v>145</v>
      </c>
      <c r="C185" s="31" t="s">
        <v>78</v>
      </c>
      <c r="D185" s="32" t="s">
        <v>3</v>
      </c>
      <c r="E185" s="62">
        <v>0.0867</v>
      </c>
      <c r="F185" s="33">
        <f>TRUNC(26.63,2)</f>
        <v>26.63</v>
      </c>
      <c r="G185" s="34">
        <f>TRUNC(E185*F185,2)</f>
        <v>2.3</v>
      </c>
      <c r="H185" s="96"/>
    </row>
    <row r="186" spans="1:8" ht="15">
      <c r="A186" s="81"/>
      <c r="B186" s="86"/>
      <c r="C186" s="85"/>
      <c r="D186" s="86"/>
      <c r="E186" s="87" t="s">
        <v>6</v>
      </c>
      <c r="F186" s="82"/>
      <c r="G186" s="83">
        <f>TRUNC(SUM(G182:G185),2)</f>
        <v>71.15</v>
      </c>
      <c r="H186" s="96"/>
    </row>
    <row r="187" spans="1:8" ht="45">
      <c r="A187" s="60"/>
      <c r="B187" s="32" t="s">
        <v>478</v>
      </c>
      <c r="C187" s="31" t="s">
        <v>479</v>
      </c>
      <c r="D187" s="32" t="s">
        <v>10</v>
      </c>
      <c r="E187" s="62">
        <v>1</v>
      </c>
      <c r="F187" s="33">
        <f>G192</f>
        <v>59.39</v>
      </c>
      <c r="G187" s="34">
        <f>TRUNC(E187*F187,2)</f>
        <v>59.39</v>
      </c>
      <c r="H187" s="96"/>
    </row>
    <row r="188" spans="1:8" ht="30">
      <c r="A188" s="60"/>
      <c r="B188" s="32" t="s">
        <v>480</v>
      </c>
      <c r="C188" s="31" t="s">
        <v>810</v>
      </c>
      <c r="D188" s="32" t="s">
        <v>10</v>
      </c>
      <c r="E188" s="62">
        <v>1.05</v>
      </c>
      <c r="F188" s="33">
        <f>TRUNC(49.5662,2)</f>
        <v>49.56</v>
      </c>
      <c r="G188" s="34">
        <f>TRUNC(E188*F188,2)</f>
        <v>52.03</v>
      </c>
      <c r="H188" s="96"/>
    </row>
    <row r="189" spans="1:8" ht="15">
      <c r="A189" s="60"/>
      <c r="B189" s="32" t="s">
        <v>343</v>
      </c>
      <c r="C189" s="31" t="s">
        <v>344</v>
      </c>
      <c r="D189" s="32" t="s">
        <v>9</v>
      </c>
      <c r="E189" s="62">
        <v>0.3</v>
      </c>
      <c r="F189" s="33">
        <f>TRUNC(3.27,2)</f>
        <v>3.27</v>
      </c>
      <c r="G189" s="34">
        <f>TRUNC(E189*F189,2)</f>
        <v>0.98</v>
      </c>
      <c r="H189" s="96"/>
    </row>
    <row r="190" spans="1:8" ht="30">
      <c r="A190" s="60"/>
      <c r="B190" s="32" t="s">
        <v>7</v>
      </c>
      <c r="C190" s="31" t="s">
        <v>8</v>
      </c>
      <c r="D190" s="32" t="s">
        <v>3</v>
      </c>
      <c r="E190" s="62">
        <v>0.1854</v>
      </c>
      <c r="F190" s="33">
        <f>TRUNC(14.47,2)</f>
        <v>14.47</v>
      </c>
      <c r="G190" s="34">
        <f>TRUNC(E190*F190,2)</f>
        <v>2.68</v>
      </c>
      <c r="H190" s="96"/>
    </row>
    <row r="191" spans="1:8" ht="30">
      <c r="A191" s="60"/>
      <c r="B191" s="32" t="s">
        <v>137</v>
      </c>
      <c r="C191" s="31" t="s">
        <v>138</v>
      </c>
      <c r="D191" s="32" t="s">
        <v>3</v>
      </c>
      <c r="E191" s="62">
        <v>0.1854</v>
      </c>
      <c r="F191" s="33">
        <f>TRUNC(19.97,2)</f>
        <v>19.97</v>
      </c>
      <c r="G191" s="34">
        <f>TRUNC(E191*F191,2)</f>
        <v>3.7</v>
      </c>
      <c r="H191" s="96"/>
    </row>
    <row r="192" spans="1:8" ht="15">
      <c r="A192" s="60"/>
      <c r="B192" s="32"/>
      <c r="C192" s="31"/>
      <c r="D192" s="32"/>
      <c r="E192" s="62" t="s">
        <v>6</v>
      </c>
      <c r="F192" s="33"/>
      <c r="G192" s="34">
        <f>TRUNC(SUM(G188:G191),2)</f>
        <v>59.39</v>
      </c>
      <c r="H192" s="96"/>
    </row>
    <row r="193" spans="1:8" ht="45">
      <c r="A193" s="65" t="s">
        <v>249</v>
      </c>
      <c r="B193" s="67" t="s">
        <v>155</v>
      </c>
      <c r="C193" s="66" t="s">
        <v>156</v>
      </c>
      <c r="D193" s="67" t="s">
        <v>10</v>
      </c>
      <c r="E193" s="68">
        <v>33</v>
      </c>
      <c r="F193" s="97">
        <v>110.49</v>
      </c>
      <c r="G193" s="70">
        <f>TRUNC((E193*F193),2)</f>
        <v>3646.17</v>
      </c>
      <c r="H193" s="9">
        <f>TRUNC((F193*1.2338),2)</f>
        <v>136.32</v>
      </c>
    </row>
    <row r="194" spans="1:8" ht="45">
      <c r="A194" s="51" t="s">
        <v>64</v>
      </c>
      <c r="B194" s="36" t="s">
        <v>155</v>
      </c>
      <c r="C194" s="35" t="s">
        <v>156</v>
      </c>
      <c r="D194" s="36" t="s">
        <v>10</v>
      </c>
      <c r="E194" s="53">
        <v>1</v>
      </c>
      <c r="F194" s="37">
        <f>G199</f>
        <v>118.9</v>
      </c>
      <c r="G194" s="38">
        <f>TRUNC(E194*F194,2)</f>
        <v>118.9</v>
      </c>
      <c r="H194" s="96" t="s">
        <v>126</v>
      </c>
    </row>
    <row r="195" spans="1:8" ht="15">
      <c r="A195" s="60"/>
      <c r="B195" s="32" t="s">
        <v>481</v>
      </c>
      <c r="C195" s="31" t="s">
        <v>482</v>
      </c>
      <c r="D195" s="32" t="s">
        <v>10</v>
      </c>
      <c r="E195" s="62">
        <v>1.05</v>
      </c>
      <c r="F195" s="33">
        <v>108.3</v>
      </c>
      <c r="G195" s="34">
        <f>TRUNC(E195*F195,2)</f>
        <v>113.71</v>
      </c>
      <c r="H195" s="96"/>
    </row>
    <row r="196" spans="1:8" ht="30">
      <c r="A196" s="60"/>
      <c r="B196" s="32" t="s">
        <v>151</v>
      </c>
      <c r="C196" s="31" t="s">
        <v>152</v>
      </c>
      <c r="D196" s="32" t="s">
        <v>9</v>
      </c>
      <c r="E196" s="62">
        <v>0.0208</v>
      </c>
      <c r="F196" s="33">
        <v>19.84</v>
      </c>
      <c r="G196" s="34">
        <f>TRUNC(E196*F196,2)</f>
        <v>0.41</v>
      </c>
      <c r="H196" s="96"/>
    </row>
    <row r="197" spans="1:8" ht="15">
      <c r="A197" s="60"/>
      <c r="B197" s="32" t="s">
        <v>1</v>
      </c>
      <c r="C197" s="31" t="s">
        <v>2</v>
      </c>
      <c r="D197" s="32" t="s">
        <v>3</v>
      </c>
      <c r="E197" s="62">
        <v>0.1</v>
      </c>
      <c r="F197" s="33">
        <f>TRUNC(21.24,2)</f>
        <v>21.24</v>
      </c>
      <c r="G197" s="34">
        <f>TRUNC(E197*F197,2)</f>
        <v>2.12</v>
      </c>
      <c r="H197" s="96"/>
    </row>
    <row r="198" spans="1:8" ht="15">
      <c r="A198" s="60"/>
      <c r="B198" s="32" t="s">
        <v>145</v>
      </c>
      <c r="C198" s="31" t="s">
        <v>78</v>
      </c>
      <c r="D198" s="32" t="s">
        <v>3</v>
      </c>
      <c r="E198" s="62">
        <v>0.1</v>
      </c>
      <c r="F198" s="33">
        <f>TRUNC(26.63,2)</f>
        <v>26.63</v>
      </c>
      <c r="G198" s="34">
        <f>TRUNC(E198*F198,2)</f>
        <v>2.66</v>
      </c>
      <c r="H198" s="96"/>
    </row>
    <row r="199" spans="1:8" ht="15">
      <c r="A199" s="81"/>
      <c r="B199" s="86"/>
      <c r="C199" s="85"/>
      <c r="D199" s="86"/>
      <c r="E199" s="87" t="s">
        <v>6</v>
      </c>
      <c r="F199" s="82"/>
      <c r="G199" s="83">
        <f>TRUNC(SUM(G195:G198),2)</f>
        <v>118.9</v>
      </c>
      <c r="H199" s="96"/>
    </row>
    <row r="200" spans="1:8" ht="45">
      <c r="A200" s="63" t="s">
        <v>250</v>
      </c>
      <c r="B200" s="28" t="s">
        <v>157</v>
      </c>
      <c r="C200" s="27" t="s">
        <v>158</v>
      </c>
      <c r="D200" s="28" t="s">
        <v>10</v>
      </c>
      <c r="E200" s="64">
        <v>120</v>
      </c>
      <c r="F200" s="101">
        <v>94.7</v>
      </c>
      <c r="G200" s="70">
        <f>TRUNC((E200*F200),2)</f>
        <v>11364</v>
      </c>
      <c r="H200" s="9">
        <f>TRUNC((F200*1.2338),2)</f>
        <v>116.84</v>
      </c>
    </row>
    <row r="201" spans="1:8" ht="45">
      <c r="A201" s="60" t="s">
        <v>64</v>
      </c>
      <c r="B201" s="61" t="s">
        <v>483</v>
      </c>
      <c r="C201" s="31" t="s">
        <v>158</v>
      </c>
      <c r="D201" s="32" t="s">
        <v>10</v>
      </c>
      <c r="E201" s="62">
        <v>1</v>
      </c>
      <c r="F201" s="33">
        <f>G208</f>
        <v>103.2</v>
      </c>
      <c r="G201" s="34">
        <f aca="true" t="shared" si="9" ref="G201:G207">TRUNC(E201*F201,2)</f>
        <v>103.2</v>
      </c>
      <c r="H201" s="74"/>
    </row>
    <row r="202" spans="1:8" ht="30">
      <c r="A202" s="60"/>
      <c r="B202" s="61" t="s">
        <v>484</v>
      </c>
      <c r="C202" s="31" t="s">
        <v>485</v>
      </c>
      <c r="D202" s="32" t="s">
        <v>10</v>
      </c>
      <c r="E202" s="62">
        <v>1.03</v>
      </c>
      <c r="F202" s="33">
        <v>57.53</v>
      </c>
      <c r="G202" s="34">
        <f t="shared" si="9"/>
        <v>59.25</v>
      </c>
      <c r="H202" s="74"/>
    </row>
    <row r="203" spans="1:8" ht="15">
      <c r="A203" s="60"/>
      <c r="B203" s="61" t="s">
        <v>1</v>
      </c>
      <c r="C203" s="31" t="s">
        <v>2</v>
      </c>
      <c r="D203" s="32" t="s">
        <v>3</v>
      </c>
      <c r="E203" s="62">
        <v>0.692</v>
      </c>
      <c r="F203" s="33">
        <f>TRUNC(21.24,2)</f>
        <v>21.24</v>
      </c>
      <c r="G203" s="34">
        <f t="shared" si="9"/>
        <v>14.69</v>
      </c>
      <c r="H203" s="74"/>
    </row>
    <row r="204" spans="1:8" ht="15">
      <c r="A204" s="60"/>
      <c r="B204" s="61" t="s">
        <v>145</v>
      </c>
      <c r="C204" s="31" t="s">
        <v>78</v>
      </c>
      <c r="D204" s="32" t="s">
        <v>3</v>
      </c>
      <c r="E204" s="62">
        <v>0.346</v>
      </c>
      <c r="F204" s="33">
        <f>TRUNC(26.63,2)</f>
        <v>26.63</v>
      </c>
      <c r="G204" s="34">
        <f t="shared" si="9"/>
        <v>9.21</v>
      </c>
      <c r="H204" s="74"/>
    </row>
    <row r="205" spans="1:8" ht="30">
      <c r="A205" s="60"/>
      <c r="B205" s="61" t="s">
        <v>486</v>
      </c>
      <c r="C205" s="31" t="s">
        <v>769</v>
      </c>
      <c r="D205" s="32" t="s">
        <v>11</v>
      </c>
      <c r="E205" s="62">
        <v>0.002</v>
      </c>
      <c r="F205" s="33">
        <f>TRUNC(420.2788,2)</f>
        <v>420.27</v>
      </c>
      <c r="G205" s="34">
        <f t="shared" si="9"/>
        <v>0.84</v>
      </c>
      <c r="H205" s="74"/>
    </row>
    <row r="206" spans="1:8" ht="30">
      <c r="A206" s="60"/>
      <c r="B206" s="61" t="s">
        <v>487</v>
      </c>
      <c r="C206" s="31" t="s">
        <v>770</v>
      </c>
      <c r="D206" s="32" t="s">
        <v>4</v>
      </c>
      <c r="E206" s="62">
        <v>0.155</v>
      </c>
      <c r="F206" s="33">
        <f>TRUNC(57.18,2)</f>
        <v>57.18</v>
      </c>
      <c r="G206" s="34">
        <f t="shared" si="9"/>
        <v>8.86</v>
      </c>
      <c r="H206" s="74"/>
    </row>
    <row r="207" spans="1:8" ht="30">
      <c r="A207" s="60"/>
      <c r="B207" s="61" t="s">
        <v>488</v>
      </c>
      <c r="C207" s="31" t="s">
        <v>771</v>
      </c>
      <c r="D207" s="32" t="s">
        <v>5</v>
      </c>
      <c r="E207" s="62">
        <v>0.074</v>
      </c>
      <c r="F207" s="33">
        <f>TRUNC(139.92,2)</f>
        <v>139.92</v>
      </c>
      <c r="G207" s="34">
        <f t="shared" si="9"/>
        <v>10.35</v>
      </c>
      <c r="H207" s="74"/>
    </row>
    <row r="208" spans="1:8" ht="15">
      <c r="A208" s="60"/>
      <c r="B208" s="61"/>
      <c r="C208" s="31"/>
      <c r="D208" s="32"/>
      <c r="E208" s="62" t="s">
        <v>6</v>
      </c>
      <c r="F208" s="33"/>
      <c r="G208" s="34">
        <f>TRUNC(SUM(G202:G207),2)</f>
        <v>103.2</v>
      </c>
      <c r="H208" s="74"/>
    </row>
    <row r="209" spans="1:8" ht="45">
      <c r="A209" s="63" t="s">
        <v>257</v>
      </c>
      <c r="B209" s="28" t="s">
        <v>159</v>
      </c>
      <c r="C209" s="27" t="s">
        <v>160</v>
      </c>
      <c r="D209" s="28" t="s">
        <v>10</v>
      </c>
      <c r="E209" s="64">
        <v>40</v>
      </c>
      <c r="F209" s="101">
        <v>120.93</v>
      </c>
      <c r="G209" s="70">
        <f>TRUNC((E209*F209),2)</f>
        <v>4837.2</v>
      </c>
      <c r="H209" s="9">
        <f>TRUNC((F209*1.2338),2)</f>
        <v>149.2</v>
      </c>
    </row>
    <row r="210" spans="1:8" ht="45">
      <c r="A210" s="60" t="s">
        <v>64</v>
      </c>
      <c r="B210" s="61" t="s">
        <v>159</v>
      </c>
      <c r="C210" s="31" t="s">
        <v>160</v>
      </c>
      <c r="D210" s="32" t="s">
        <v>10</v>
      </c>
      <c r="E210" s="62">
        <v>1</v>
      </c>
      <c r="F210" s="33">
        <f>G217</f>
        <v>131.69</v>
      </c>
      <c r="G210" s="34">
        <f aca="true" t="shared" si="10" ref="G210:G216">TRUNC(E210*F210,2)</f>
        <v>131.69</v>
      </c>
      <c r="H210" s="74"/>
    </row>
    <row r="211" spans="1:8" ht="30">
      <c r="A211" s="60"/>
      <c r="B211" s="61" t="s">
        <v>489</v>
      </c>
      <c r="C211" s="31" t="s">
        <v>490</v>
      </c>
      <c r="D211" s="32" t="s">
        <v>10</v>
      </c>
      <c r="E211" s="62">
        <v>1.03</v>
      </c>
      <c r="F211" s="33">
        <v>75.97</v>
      </c>
      <c r="G211" s="34">
        <f t="shared" si="10"/>
        <v>78.24</v>
      </c>
      <c r="H211" s="74"/>
    </row>
    <row r="212" spans="1:8" ht="15">
      <c r="A212" s="60"/>
      <c r="B212" s="61" t="s">
        <v>1</v>
      </c>
      <c r="C212" s="31" t="s">
        <v>2</v>
      </c>
      <c r="D212" s="32" t="s">
        <v>3</v>
      </c>
      <c r="E212" s="62">
        <v>0.839</v>
      </c>
      <c r="F212" s="33">
        <f>TRUNC(21.24,2)</f>
        <v>21.24</v>
      </c>
      <c r="G212" s="34">
        <f t="shared" si="10"/>
        <v>17.82</v>
      </c>
      <c r="H212" s="74"/>
    </row>
    <row r="213" spans="1:8" ht="15">
      <c r="A213" s="60"/>
      <c r="B213" s="61" t="s">
        <v>145</v>
      </c>
      <c r="C213" s="31" t="s">
        <v>78</v>
      </c>
      <c r="D213" s="32" t="s">
        <v>3</v>
      </c>
      <c r="E213" s="62">
        <v>0.42</v>
      </c>
      <c r="F213" s="33">
        <f>TRUNC(26.63,2)</f>
        <v>26.63</v>
      </c>
      <c r="G213" s="34">
        <f t="shared" si="10"/>
        <v>11.18</v>
      </c>
      <c r="H213" s="74"/>
    </row>
    <row r="214" spans="1:8" ht="30">
      <c r="A214" s="60"/>
      <c r="B214" s="61" t="s">
        <v>486</v>
      </c>
      <c r="C214" s="31" t="s">
        <v>769</v>
      </c>
      <c r="D214" s="32" t="s">
        <v>11</v>
      </c>
      <c r="E214" s="62">
        <v>0.003</v>
      </c>
      <c r="F214" s="33">
        <f>TRUNC(420.2788,2)</f>
        <v>420.27</v>
      </c>
      <c r="G214" s="34">
        <f t="shared" si="10"/>
        <v>1.26</v>
      </c>
      <c r="H214" s="74"/>
    </row>
    <row r="215" spans="1:8" ht="30">
      <c r="A215" s="60"/>
      <c r="B215" s="61" t="s">
        <v>487</v>
      </c>
      <c r="C215" s="31" t="s">
        <v>770</v>
      </c>
      <c r="D215" s="32" t="s">
        <v>4</v>
      </c>
      <c r="E215" s="62">
        <v>0.188</v>
      </c>
      <c r="F215" s="33">
        <f>TRUNC(57.18,2)</f>
        <v>57.18</v>
      </c>
      <c r="G215" s="34">
        <f t="shared" si="10"/>
        <v>10.74</v>
      </c>
      <c r="H215" s="74"/>
    </row>
    <row r="216" spans="1:8" ht="30">
      <c r="A216" s="60"/>
      <c r="B216" s="61" t="s">
        <v>488</v>
      </c>
      <c r="C216" s="31" t="s">
        <v>771</v>
      </c>
      <c r="D216" s="32" t="s">
        <v>5</v>
      </c>
      <c r="E216" s="62">
        <v>0.089</v>
      </c>
      <c r="F216" s="33">
        <f>TRUNC(139.92,2)</f>
        <v>139.92</v>
      </c>
      <c r="G216" s="34">
        <f t="shared" si="10"/>
        <v>12.45</v>
      </c>
      <c r="H216" s="74"/>
    </row>
    <row r="217" spans="1:8" ht="15">
      <c r="A217" s="60"/>
      <c r="B217" s="61"/>
      <c r="C217" s="31"/>
      <c r="D217" s="32"/>
      <c r="E217" s="62" t="s">
        <v>6</v>
      </c>
      <c r="F217" s="33"/>
      <c r="G217" s="34">
        <f>TRUNC(SUM(G211:G216),2)</f>
        <v>131.69</v>
      </c>
      <c r="H217" s="74"/>
    </row>
    <row r="218" spans="1:8" ht="45">
      <c r="A218" s="63" t="s">
        <v>258</v>
      </c>
      <c r="B218" s="28" t="s">
        <v>76</v>
      </c>
      <c r="C218" s="27" t="s">
        <v>77</v>
      </c>
      <c r="D218" s="28" t="s">
        <v>10</v>
      </c>
      <c r="E218" s="64">
        <v>110</v>
      </c>
      <c r="F218" s="101">
        <v>153.55</v>
      </c>
      <c r="G218" s="70">
        <f>TRUNC((E218*F218),2)</f>
        <v>16890.5</v>
      </c>
      <c r="H218" s="9">
        <f>TRUNC((F218*1.2338),2)</f>
        <v>189.44</v>
      </c>
    </row>
    <row r="219" spans="1:8" ht="45">
      <c r="A219" s="60" t="s">
        <v>64</v>
      </c>
      <c r="B219" s="61" t="s">
        <v>491</v>
      </c>
      <c r="C219" s="31" t="s">
        <v>77</v>
      </c>
      <c r="D219" s="32" t="s">
        <v>10</v>
      </c>
      <c r="E219" s="62">
        <v>1</v>
      </c>
      <c r="F219" s="33">
        <f>G226</f>
        <v>166.99</v>
      </c>
      <c r="G219" s="34">
        <f aca="true" t="shared" si="11" ref="G219:G225">TRUNC(E219*F219,2)</f>
        <v>166.99</v>
      </c>
      <c r="H219" s="74"/>
    </row>
    <row r="220" spans="1:8" ht="30">
      <c r="A220" s="60"/>
      <c r="B220" s="61" t="s">
        <v>492</v>
      </c>
      <c r="C220" s="31" t="s">
        <v>493</v>
      </c>
      <c r="D220" s="32" t="s">
        <v>10</v>
      </c>
      <c r="E220" s="62">
        <v>1.03</v>
      </c>
      <c r="F220" s="33">
        <v>100.5</v>
      </c>
      <c r="G220" s="34">
        <f t="shared" si="11"/>
        <v>103.51</v>
      </c>
      <c r="H220" s="74"/>
    </row>
    <row r="221" spans="1:8" ht="15">
      <c r="A221" s="60"/>
      <c r="B221" s="61" t="s">
        <v>1</v>
      </c>
      <c r="C221" s="31" t="s">
        <v>2</v>
      </c>
      <c r="D221" s="32" t="s">
        <v>3</v>
      </c>
      <c r="E221" s="62">
        <v>0.986</v>
      </c>
      <c r="F221" s="33">
        <f>TRUNC(21.24,2)</f>
        <v>21.24</v>
      </c>
      <c r="G221" s="34">
        <f t="shared" si="11"/>
        <v>20.94</v>
      </c>
      <c r="H221" s="74"/>
    </row>
    <row r="222" spans="1:8" ht="15">
      <c r="A222" s="60"/>
      <c r="B222" s="61" t="s">
        <v>145</v>
      </c>
      <c r="C222" s="31" t="s">
        <v>78</v>
      </c>
      <c r="D222" s="32" t="s">
        <v>3</v>
      </c>
      <c r="E222" s="62">
        <v>0.493</v>
      </c>
      <c r="F222" s="33">
        <f>TRUNC(26.63,2)</f>
        <v>26.63</v>
      </c>
      <c r="G222" s="34">
        <f t="shared" si="11"/>
        <v>13.12</v>
      </c>
      <c r="H222" s="74"/>
    </row>
    <row r="223" spans="1:8" ht="30">
      <c r="A223" s="60"/>
      <c r="B223" s="61" t="s">
        <v>486</v>
      </c>
      <c r="C223" s="31" t="s">
        <v>769</v>
      </c>
      <c r="D223" s="32" t="s">
        <v>11</v>
      </c>
      <c r="E223" s="62">
        <v>0.005</v>
      </c>
      <c r="F223" s="33">
        <f>TRUNC(420.2788,2)</f>
        <v>420.27</v>
      </c>
      <c r="G223" s="34">
        <f t="shared" si="11"/>
        <v>2.1</v>
      </c>
      <c r="H223" s="74"/>
    </row>
    <row r="224" spans="1:8" ht="30">
      <c r="A224" s="60"/>
      <c r="B224" s="61" t="s">
        <v>487</v>
      </c>
      <c r="C224" s="31" t="s">
        <v>770</v>
      </c>
      <c r="D224" s="32" t="s">
        <v>4</v>
      </c>
      <c r="E224" s="62">
        <v>0.221</v>
      </c>
      <c r="F224" s="33">
        <f>TRUNC(57.18,2)</f>
        <v>57.18</v>
      </c>
      <c r="G224" s="34">
        <f t="shared" si="11"/>
        <v>12.63</v>
      </c>
      <c r="H224" s="74"/>
    </row>
    <row r="225" spans="1:8" ht="30">
      <c r="A225" s="60"/>
      <c r="B225" s="61" t="s">
        <v>488</v>
      </c>
      <c r="C225" s="31" t="s">
        <v>771</v>
      </c>
      <c r="D225" s="32" t="s">
        <v>5</v>
      </c>
      <c r="E225" s="62">
        <v>0.105</v>
      </c>
      <c r="F225" s="33">
        <f>TRUNC(139.92,2)</f>
        <v>139.92</v>
      </c>
      <c r="G225" s="34">
        <f t="shared" si="11"/>
        <v>14.69</v>
      </c>
      <c r="H225" s="74"/>
    </row>
    <row r="226" spans="1:8" ht="15">
      <c r="A226" s="60"/>
      <c r="B226" s="61"/>
      <c r="C226" s="31"/>
      <c r="D226" s="32"/>
      <c r="E226" s="62" t="s">
        <v>6</v>
      </c>
      <c r="F226" s="33"/>
      <c r="G226" s="34">
        <f>TRUNC(SUM(G220:G225),2)</f>
        <v>166.99</v>
      </c>
      <c r="H226" s="74"/>
    </row>
    <row r="227" spans="1:9" ht="90">
      <c r="A227" s="49" t="s">
        <v>259</v>
      </c>
      <c r="B227" s="24" t="s">
        <v>811</v>
      </c>
      <c r="C227" s="24" t="s">
        <v>345</v>
      </c>
      <c r="D227" s="25" t="s">
        <v>9</v>
      </c>
      <c r="E227" s="50">
        <v>7</v>
      </c>
      <c r="F227" s="98">
        <v>824.06</v>
      </c>
      <c r="G227" s="70">
        <f>TRUNC((E227*F227),2)</f>
        <v>5768.42</v>
      </c>
      <c r="H227" s="9">
        <f>TRUNC((F227*1.2338),2)</f>
        <v>1016.72</v>
      </c>
      <c r="I227" s="1" t="s">
        <v>471</v>
      </c>
    </row>
    <row r="228" spans="1:8" ht="60">
      <c r="A228" s="51" t="s">
        <v>41</v>
      </c>
      <c r="B228" s="52" t="s">
        <v>494</v>
      </c>
      <c r="C228" s="35" t="s">
        <v>495</v>
      </c>
      <c r="D228" s="36" t="s">
        <v>9</v>
      </c>
      <c r="E228" s="53">
        <v>1</v>
      </c>
      <c r="F228" s="37">
        <f>G235</f>
        <v>293.39</v>
      </c>
      <c r="G228" s="206">
        <f>TRUNC(E228*F228,2)</f>
        <v>293.39</v>
      </c>
      <c r="H228" s="74"/>
    </row>
    <row r="229" spans="1:8" ht="45">
      <c r="A229" s="60"/>
      <c r="B229" s="61" t="s">
        <v>496</v>
      </c>
      <c r="C229" s="31" t="s">
        <v>497</v>
      </c>
      <c r="D229" s="32" t="s">
        <v>9</v>
      </c>
      <c r="E229" s="62">
        <v>1</v>
      </c>
      <c r="F229" s="33">
        <v>146.5552</v>
      </c>
      <c r="G229" s="34">
        <f aca="true" t="shared" si="12" ref="G229:G234">E229*F229</f>
        <v>146.5552</v>
      </c>
      <c r="H229" s="74"/>
    </row>
    <row r="230" spans="1:8" ht="15">
      <c r="A230" s="60"/>
      <c r="B230" s="61" t="s">
        <v>498</v>
      </c>
      <c r="C230" s="31" t="s">
        <v>499</v>
      </c>
      <c r="D230" s="32" t="s">
        <v>17</v>
      </c>
      <c r="E230" s="62">
        <v>12.95</v>
      </c>
      <c r="F230" s="33">
        <v>4.02</v>
      </c>
      <c r="G230" s="34">
        <f t="shared" si="12"/>
        <v>52.05899999999999</v>
      </c>
      <c r="H230" s="74"/>
    </row>
    <row r="231" spans="1:8" ht="15">
      <c r="A231" s="60"/>
      <c r="B231" s="61" t="s">
        <v>327</v>
      </c>
      <c r="C231" s="31" t="s">
        <v>328</v>
      </c>
      <c r="D231" s="32" t="s">
        <v>17</v>
      </c>
      <c r="E231" s="62">
        <v>0.052</v>
      </c>
      <c r="F231" s="33">
        <v>6.4</v>
      </c>
      <c r="G231" s="34">
        <f t="shared" si="12"/>
        <v>0.3328</v>
      </c>
      <c r="H231" s="74"/>
    </row>
    <row r="232" spans="1:8" ht="30">
      <c r="A232" s="60"/>
      <c r="B232" s="61" t="s">
        <v>7</v>
      </c>
      <c r="C232" s="31" t="s">
        <v>8</v>
      </c>
      <c r="D232" s="32" t="s">
        <v>3</v>
      </c>
      <c r="E232" s="62">
        <v>0.9476000000000001</v>
      </c>
      <c r="F232" s="33">
        <v>14.47</v>
      </c>
      <c r="G232" s="34">
        <f t="shared" si="12"/>
        <v>13.711772000000002</v>
      </c>
      <c r="H232" s="74"/>
    </row>
    <row r="233" spans="1:8" ht="15">
      <c r="A233" s="60"/>
      <c r="B233" s="61" t="s">
        <v>135</v>
      </c>
      <c r="C233" s="31" t="s">
        <v>136</v>
      </c>
      <c r="D233" s="32" t="s">
        <v>3</v>
      </c>
      <c r="E233" s="62">
        <v>0.9476000000000001</v>
      </c>
      <c r="F233" s="33">
        <v>19.97</v>
      </c>
      <c r="G233" s="34">
        <f t="shared" si="12"/>
        <v>18.923572</v>
      </c>
      <c r="H233" s="74"/>
    </row>
    <row r="234" spans="1:8" ht="15">
      <c r="A234" s="60"/>
      <c r="B234" s="61" t="s">
        <v>500</v>
      </c>
      <c r="C234" s="31" t="s">
        <v>501</v>
      </c>
      <c r="D234" s="32" t="s">
        <v>11</v>
      </c>
      <c r="E234" s="62">
        <v>0.3153</v>
      </c>
      <c r="F234" s="33">
        <v>196.0301</v>
      </c>
      <c r="G234" s="34">
        <f t="shared" si="12"/>
        <v>61.80829053000001</v>
      </c>
      <c r="H234" s="74"/>
    </row>
    <row r="235" spans="1:8" ht="15">
      <c r="A235" s="60"/>
      <c r="B235" s="61"/>
      <c r="C235" s="31"/>
      <c r="D235" s="32"/>
      <c r="E235" s="62" t="s">
        <v>6</v>
      </c>
      <c r="F235" s="33"/>
      <c r="G235" s="34">
        <f>TRUNC(SUM(G229:G234),2)</f>
        <v>293.39</v>
      </c>
      <c r="H235" s="74"/>
    </row>
    <row r="236" spans="1:8" ht="45">
      <c r="A236" s="60" t="s">
        <v>41</v>
      </c>
      <c r="B236" s="61" t="s">
        <v>502</v>
      </c>
      <c r="C236" s="31" t="s">
        <v>503</v>
      </c>
      <c r="D236" s="32" t="s">
        <v>10</v>
      </c>
      <c r="E236" s="62">
        <v>1.4</v>
      </c>
      <c r="F236" s="33">
        <f>G241</f>
        <v>379.08</v>
      </c>
      <c r="G236" s="58">
        <f>TRUNC(E236*F236,2)</f>
        <v>530.71</v>
      </c>
      <c r="H236" s="74"/>
    </row>
    <row r="237" spans="1:8" ht="30">
      <c r="A237" s="60"/>
      <c r="B237" s="61" t="s">
        <v>504</v>
      </c>
      <c r="C237" s="31" t="s">
        <v>505</v>
      </c>
      <c r="D237" s="32" t="s">
        <v>9</v>
      </c>
      <c r="E237" s="62">
        <v>3.33</v>
      </c>
      <c r="F237" s="33">
        <v>77.8575</v>
      </c>
      <c r="G237" s="34">
        <f>E237*F237</f>
        <v>259.26547500000004</v>
      </c>
      <c r="H237" s="74"/>
    </row>
    <row r="238" spans="1:8" ht="30">
      <c r="A238" s="60"/>
      <c r="B238" s="61" t="s">
        <v>7</v>
      </c>
      <c r="C238" s="31" t="s">
        <v>8</v>
      </c>
      <c r="D238" s="32" t="s">
        <v>3</v>
      </c>
      <c r="E238" s="62">
        <v>4.7174000000000005</v>
      </c>
      <c r="F238" s="33">
        <v>14.47</v>
      </c>
      <c r="G238" s="34">
        <f>E238*F238</f>
        <v>68.26077800000002</v>
      </c>
      <c r="H238" s="74"/>
    </row>
    <row r="239" spans="1:8" ht="15">
      <c r="A239" s="60"/>
      <c r="B239" s="61" t="s">
        <v>135</v>
      </c>
      <c r="C239" s="31" t="s">
        <v>136</v>
      </c>
      <c r="D239" s="32" t="s">
        <v>3</v>
      </c>
      <c r="E239" s="62">
        <v>2.3587000000000002</v>
      </c>
      <c r="F239" s="33">
        <v>19.97</v>
      </c>
      <c r="G239" s="34">
        <f>E239*F239</f>
        <v>47.103239</v>
      </c>
      <c r="H239" s="74"/>
    </row>
    <row r="240" spans="1:8" ht="15">
      <c r="A240" s="60"/>
      <c r="B240" s="61" t="s">
        <v>469</v>
      </c>
      <c r="C240" s="31" t="s">
        <v>470</v>
      </c>
      <c r="D240" s="32" t="s">
        <v>11</v>
      </c>
      <c r="E240" s="62">
        <v>0.017</v>
      </c>
      <c r="F240" s="33">
        <v>262.1498</v>
      </c>
      <c r="G240" s="34">
        <f>E240*F240</f>
        <v>4.456546600000001</v>
      </c>
      <c r="H240" s="74"/>
    </row>
    <row r="241" spans="1:8" ht="15">
      <c r="A241" s="81"/>
      <c r="B241" s="100"/>
      <c r="C241" s="85"/>
      <c r="D241" s="86"/>
      <c r="E241" s="87" t="s">
        <v>6</v>
      </c>
      <c r="F241" s="82"/>
      <c r="G241" s="83">
        <f>TRUNC(SUM(G237:G240),2)</f>
        <v>379.08</v>
      </c>
      <c r="H241" s="74"/>
    </row>
    <row r="242" spans="1:8" ht="90">
      <c r="A242" s="75" t="s">
        <v>260</v>
      </c>
      <c r="B242" s="76" t="s">
        <v>167</v>
      </c>
      <c r="C242" s="77" t="s">
        <v>168</v>
      </c>
      <c r="D242" s="76" t="s">
        <v>10</v>
      </c>
      <c r="E242" s="78">
        <v>13</v>
      </c>
      <c r="F242" s="102">
        <v>617.29</v>
      </c>
      <c r="G242" s="70">
        <f>TRUNC((E242*F242),2)</f>
        <v>8024.77</v>
      </c>
      <c r="H242" s="9">
        <f>TRUNC((F242*1.2338),2)</f>
        <v>761.61</v>
      </c>
    </row>
    <row r="243" spans="1:8" ht="90">
      <c r="A243" s="60" t="s">
        <v>64</v>
      </c>
      <c r="B243" s="61" t="s">
        <v>167</v>
      </c>
      <c r="C243" s="31" t="s">
        <v>168</v>
      </c>
      <c r="D243" s="32" t="s">
        <v>9</v>
      </c>
      <c r="E243" s="62">
        <v>1</v>
      </c>
      <c r="F243" s="33">
        <f>G250</f>
        <v>621.33</v>
      </c>
      <c r="G243" s="34">
        <f aca="true" t="shared" si="13" ref="G243:G249">TRUNC(E243*F243,2)</f>
        <v>621.33</v>
      </c>
      <c r="H243" s="74"/>
    </row>
    <row r="244" spans="1:8" ht="30">
      <c r="A244" s="60"/>
      <c r="B244" s="61" t="s">
        <v>812</v>
      </c>
      <c r="C244" s="31" t="s">
        <v>813</v>
      </c>
      <c r="D244" s="32" t="s">
        <v>9</v>
      </c>
      <c r="E244" s="62">
        <v>1</v>
      </c>
      <c r="F244" s="33">
        <f>TRUNC(245,2)</f>
        <v>245</v>
      </c>
      <c r="G244" s="34">
        <f t="shared" si="13"/>
        <v>245</v>
      </c>
      <c r="H244" s="74"/>
    </row>
    <row r="245" spans="1:8" ht="30">
      <c r="A245" s="60"/>
      <c r="B245" s="61" t="s">
        <v>7</v>
      </c>
      <c r="C245" s="31" t="s">
        <v>8</v>
      </c>
      <c r="D245" s="32" t="s">
        <v>3</v>
      </c>
      <c r="E245" s="62">
        <v>1.1844999999999999</v>
      </c>
      <c r="F245" s="33">
        <f>TRUNC(14.47,2)</f>
        <v>14.47</v>
      </c>
      <c r="G245" s="34">
        <f t="shared" si="13"/>
        <v>17.13</v>
      </c>
      <c r="H245" s="74"/>
    </row>
    <row r="246" spans="1:8" ht="15">
      <c r="A246" s="60"/>
      <c r="B246" s="61" t="s">
        <v>135</v>
      </c>
      <c r="C246" s="31" t="s">
        <v>136</v>
      </c>
      <c r="D246" s="32" t="s">
        <v>3</v>
      </c>
      <c r="E246" s="62">
        <v>1.1844999999999999</v>
      </c>
      <c r="F246" s="33">
        <f>TRUNC(19.97,2)</f>
        <v>19.97</v>
      </c>
      <c r="G246" s="34">
        <f t="shared" si="13"/>
        <v>23.65</v>
      </c>
      <c r="H246" s="74"/>
    </row>
    <row r="247" spans="1:8" ht="15">
      <c r="A247" s="60"/>
      <c r="B247" s="61" t="s">
        <v>814</v>
      </c>
      <c r="C247" s="31" t="s">
        <v>815</v>
      </c>
      <c r="D247" s="32" t="s">
        <v>0</v>
      </c>
      <c r="E247" s="62">
        <v>2.88</v>
      </c>
      <c r="F247" s="33">
        <f>TRUNC(95.3504,2)</f>
        <v>95.35</v>
      </c>
      <c r="G247" s="34">
        <f t="shared" si="13"/>
        <v>274.6</v>
      </c>
      <c r="H247" s="74"/>
    </row>
    <row r="248" spans="1:8" ht="15">
      <c r="A248" s="60"/>
      <c r="B248" s="61" t="s">
        <v>701</v>
      </c>
      <c r="C248" s="31" t="s">
        <v>702</v>
      </c>
      <c r="D248" s="32" t="s">
        <v>0</v>
      </c>
      <c r="E248" s="62">
        <v>2.163</v>
      </c>
      <c r="F248" s="33">
        <f>TRUNC(23.5662,2)</f>
        <v>23.56</v>
      </c>
      <c r="G248" s="34">
        <f t="shared" si="13"/>
        <v>50.96</v>
      </c>
      <c r="H248" s="74"/>
    </row>
    <row r="249" spans="1:8" ht="15">
      <c r="A249" s="60"/>
      <c r="B249" s="61" t="s">
        <v>500</v>
      </c>
      <c r="C249" s="31" t="s">
        <v>501</v>
      </c>
      <c r="D249" s="32" t="s">
        <v>11</v>
      </c>
      <c r="E249" s="62">
        <v>0.051</v>
      </c>
      <c r="F249" s="33">
        <f>TRUNC(196.0301,2)</f>
        <v>196.03</v>
      </c>
      <c r="G249" s="34">
        <f t="shared" si="13"/>
        <v>9.99</v>
      </c>
      <c r="H249" s="74"/>
    </row>
    <row r="250" spans="1:8" ht="15">
      <c r="A250" s="60"/>
      <c r="B250" s="61"/>
      <c r="C250" s="31"/>
      <c r="D250" s="32"/>
      <c r="E250" s="62" t="s">
        <v>6</v>
      </c>
      <c r="F250" s="33"/>
      <c r="G250" s="34">
        <f>TRUNC(SUM(G244:G249),2)</f>
        <v>621.33</v>
      </c>
      <c r="H250" s="74"/>
    </row>
    <row r="251" spans="1:8" ht="60">
      <c r="A251" s="103" t="s">
        <v>64</v>
      </c>
      <c r="B251" s="207" t="s">
        <v>506</v>
      </c>
      <c r="C251" s="92" t="s">
        <v>507</v>
      </c>
      <c r="D251" s="93" t="s">
        <v>9</v>
      </c>
      <c r="E251" s="104">
        <v>1</v>
      </c>
      <c r="F251" s="94">
        <f>TRUNC(1467.718231,2)</f>
        <v>1467.71</v>
      </c>
      <c r="G251" s="95">
        <f>TRUNC(E251*F251,2)</f>
        <v>1467.71</v>
      </c>
      <c r="H251" s="74"/>
    </row>
    <row r="252" spans="1:8" ht="120">
      <c r="A252" s="63" t="s">
        <v>698</v>
      </c>
      <c r="B252" s="28" t="s">
        <v>816</v>
      </c>
      <c r="C252" s="27" t="s">
        <v>710</v>
      </c>
      <c r="D252" s="28" t="s">
        <v>9</v>
      </c>
      <c r="E252" s="64">
        <v>2</v>
      </c>
      <c r="F252" s="101">
        <v>659.44</v>
      </c>
      <c r="G252" s="30">
        <f>TRUNC((E252*F252),2)</f>
        <v>1318.88</v>
      </c>
      <c r="H252" s="9">
        <f>TRUNC((F252*1.2338),2)</f>
        <v>813.61</v>
      </c>
    </row>
    <row r="253" spans="1:8" ht="90">
      <c r="A253" s="60"/>
      <c r="B253" s="61" t="s">
        <v>699</v>
      </c>
      <c r="C253" s="31" t="s">
        <v>700</v>
      </c>
      <c r="D253" s="32" t="s">
        <v>9</v>
      </c>
      <c r="E253" s="62">
        <v>1</v>
      </c>
      <c r="F253" s="33">
        <f>TRUNC(G264,2)</f>
        <v>663.09</v>
      </c>
      <c r="G253" s="34">
        <f>TRUNC(E253*F253,2)</f>
        <v>663.09</v>
      </c>
      <c r="H253" s="74"/>
    </row>
    <row r="254" spans="1:8" ht="30">
      <c r="A254" s="60"/>
      <c r="B254" s="61" t="s">
        <v>15</v>
      </c>
      <c r="C254" s="31" t="s">
        <v>16</v>
      </c>
      <c r="D254" s="32" t="s">
        <v>17</v>
      </c>
      <c r="E254" s="62">
        <v>0.05</v>
      </c>
      <c r="F254" s="33">
        <v>8.39</v>
      </c>
      <c r="G254" s="34">
        <f>E254*F254</f>
        <v>0.41950000000000004</v>
      </c>
      <c r="H254" s="74"/>
    </row>
    <row r="255" spans="1:8" ht="15">
      <c r="A255" s="60"/>
      <c r="B255" s="61" t="s">
        <v>512</v>
      </c>
      <c r="C255" s="31" t="s">
        <v>513</v>
      </c>
      <c r="D255" s="32" t="s">
        <v>10</v>
      </c>
      <c r="E255" s="62">
        <v>1.4</v>
      </c>
      <c r="F255" s="33">
        <v>6.42</v>
      </c>
      <c r="G255" s="34">
        <f aca="true" t="shared" si="14" ref="G255:G263">E255*F255</f>
        <v>8.988</v>
      </c>
      <c r="H255" s="74"/>
    </row>
    <row r="256" spans="1:8" ht="15">
      <c r="A256" s="60"/>
      <c r="B256" s="61" t="s">
        <v>498</v>
      </c>
      <c r="C256" s="31" t="s">
        <v>499</v>
      </c>
      <c r="D256" s="32" t="s">
        <v>17</v>
      </c>
      <c r="E256" s="62">
        <v>7.7</v>
      </c>
      <c r="F256" s="33">
        <v>4.02</v>
      </c>
      <c r="G256" s="34">
        <f t="shared" si="14"/>
        <v>30.953999999999997</v>
      </c>
      <c r="H256" s="74"/>
    </row>
    <row r="257" spans="1:8" ht="30">
      <c r="A257" s="60"/>
      <c r="B257" s="61" t="s">
        <v>7</v>
      </c>
      <c r="C257" s="31" t="s">
        <v>8</v>
      </c>
      <c r="D257" s="32" t="s">
        <v>3</v>
      </c>
      <c r="E257" s="62">
        <v>4.3672</v>
      </c>
      <c r="F257" s="33">
        <v>14.47</v>
      </c>
      <c r="G257" s="34">
        <f t="shared" si="14"/>
        <v>63.19338400000001</v>
      </c>
      <c r="H257" s="74"/>
    </row>
    <row r="258" spans="1:8" ht="30">
      <c r="A258" s="60"/>
      <c r="B258" s="61" t="s">
        <v>329</v>
      </c>
      <c r="C258" s="31" t="s">
        <v>330</v>
      </c>
      <c r="D258" s="32" t="s">
        <v>3</v>
      </c>
      <c r="E258" s="62">
        <v>0.8240000000000001</v>
      </c>
      <c r="F258" s="33">
        <v>19.97</v>
      </c>
      <c r="G258" s="34">
        <f t="shared" si="14"/>
        <v>16.455280000000002</v>
      </c>
      <c r="H258" s="74"/>
    </row>
    <row r="259" spans="1:8" ht="15">
      <c r="A259" s="60"/>
      <c r="B259" s="61" t="s">
        <v>135</v>
      </c>
      <c r="C259" s="31" t="s">
        <v>136</v>
      </c>
      <c r="D259" s="32" t="s">
        <v>3</v>
      </c>
      <c r="E259" s="62">
        <v>6.118200000000001</v>
      </c>
      <c r="F259" s="33">
        <v>19.97</v>
      </c>
      <c r="G259" s="34">
        <f t="shared" si="14"/>
        <v>122.18045400000001</v>
      </c>
      <c r="H259" s="74"/>
    </row>
    <row r="260" spans="1:8" ht="15">
      <c r="A260" s="60"/>
      <c r="B260" s="61" t="s">
        <v>701</v>
      </c>
      <c r="C260" s="31" t="s">
        <v>702</v>
      </c>
      <c r="D260" s="32" t="s">
        <v>0</v>
      </c>
      <c r="E260" s="62">
        <v>2.52</v>
      </c>
      <c r="F260" s="33">
        <v>23.5662</v>
      </c>
      <c r="G260" s="34">
        <f t="shared" si="14"/>
        <v>59.386824</v>
      </c>
      <c r="H260" s="74"/>
    </row>
    <row r="261" spans="1:8" s="133" customFormat="1" ht="15.75">
      <c r="A261" s="54"/>
      <c r="B261" s="105"/>
      <c r="C261" s="55" t="s">
        <v>709</v>
      </c>
      <c r="D261" s="56" t="s">
        <v>0</v>
      </c>
      <c r="E261" s="132">
        <v>3.2</v>
      </c>
      <c r="F261" s="57">
        <f>F265</f>
        <v>95.35</v>
      </c>
      <c r="G261" s="58">
        <f>E261*F261</f>
        <v>305.12</v>
      </c>
      <c r="H261" s="289"/>
    </row>
    <row r="262" spans="1:8" ht="15">
      <c r="A262" s="60"/>
      <c r="B262" s="61" t="s">
        <v>121</v>
      </c>
      <c r="C262" s="31" t="s">
        <v>122</v>
      </c>
      <c r="D262" s="32" t="s">
        <v>11</v>
      </c>
      <c r="E262" s="62">
        <v>0.11</v>
      </c>
      <c r="F262" s="33">
        <v>209.7567</v>
      </c>
      <c r="G262" s="34">
        <f t="shared" si="14"/>
        <v>23.073237</v>
      </c>
      <c r="H262" s="74"/>
    </row>
    <row r="263" spans="1:8" ht="15">
      <c r="A263" s="60"/>
      <c r="B263" s="61" t="s">
        <v>500</v>
      </c>
      <c r="C263" s="31" t="s">
        <v>501</v>
      </c>
      <c r="D263" s="32" t="s">
        <v>11</v>
      </c>
      <c r="E263" s="62">
        <v>0.17</v>
      </c>
      <c r="F263" s="33">
        <v>196.0301</v>
      </c>
      <c r="G263" s="34">
        <f t="shared" si="14"/>
        <v>33.325117000000006</v>
      </c>
      <c r="H263" s="74"/>
    </row>
    <row r="264" spans="1:8" ht="15">
      <c r="A264" s="60"/>
      <c r="B264" s="61"/>
      <c r="C264" s="31"/>
      <c r="D264" s="32"/>
      <c r="E264" s="62" t="s">
        <v>6</v>
      </c>
      <c r="F264" s="33"/>
      <c r="G264" s="34">
        <f>TRUNC(SUM(G254:G263),2)</f>
        <v>663.09</v>
      </c>
      <c r="H264" s="74"/>
    </row>
    <row r="265" spans="1:8" ht="75">
      <c r="A265" s="60"/>
      <c r="B265" s="61" t="s">
        <v>703</v>
      </c>
      <c r="C265" s="31" t="s">
        <v>704</v>
      </c>
      <c r="D265" s="32" t="s">
        <v>0</v>
      </c>
      <c r="E265" s="62">
        <v>1</v>
      </c>
      <c r="F265" s="33">
        <f>G271</f>
        <v>95.35</v>
      </c>
      <c r="G265" s="34">
        <f>TRUNC(E265*F265,2)</f>
        <v>95.35</v>
      </c>
      <c r="H265" s="74"/>
    </row>
    <row r="266" spans="1:8" ht="15">
      <c r="A266" s="60"/>
      <c r="B266" s="61" t="s">
        <v>705</v>
      </c>
      <c r="C266" s="31" t="s">
        <v>706</v>
      </c>
      <c r="D266" s="32" t="s">
        <v>9</v>
      </c>
      <c r="E266" s="62">
        <v>13</v>
      </c>
      <c r="F266" s="33">
        <v>2.3</v>
      </c>
      <c r="G266" s="34">
        <f>E266*F266</f>
        <v>29.9</v>
      </c>
      <c r="H266" s="74"/>
    </row>
    <row r="267" spans="1:8" ht="30">
      <c r="A267" s="60"/>
      <c r="B267" s="61" t="s">
        <v>7</v>
      </c>
      <c r="C267" s="31" t="s">
        <v>8</v>
      </c>
      <c r="D267" s="32" t="s">
        <v>3</v>
      </c>
      <c r="E267" s="62">
        <v>1.03</v>
      </c>
      <c r="F267" s="33">
        <v>14.47</v>
      </c>
      <c r="G267" s="34">
        <f>E267*F267</f>
        <v>14.904100000000001</v>
      </c>
      <c r="H267" s="74"/>
    </row>
    <row r="268" spans="1:8" ht="15">
      <c r="A268" s="60"/>
      <c r="B268" s="61" t="s">
        <v>135</v>
      </c>
      <c r="C268" s="31" t="s">
        <v>136</v>
      </c>
      <c r="D268" s="32" t="s">
        <v>3</v>
      </c>
      <c r="E268" s="62">
        <v>1.03</v>
      </c>
      <c r="F268" s="33">
        <v>19.97</v>
      </c>
      <c r="G268" s="34">
        <f>E268*F268</f>
        <v>20.5691</v>
      </c>
      <c r="H268" s="74"/>
    </row>
    <row r="269" spans="1:8" ht="15">
      <c r="A269" s="60"/>
      <c r="B269" s="61" t="s">
        <v>707</v>
      </c>
      <c r="C269" s="31" t="s">
        <v>708</v>
      </c>
      <c r="D269" s="32" t="s">
        <v>11</v>
      </c>
      <c r="E269" s="62">
        <v>0.11</v>
      </c>
      <c r="F269" s="33">
        <v>224.8579</v>
      </c>
      <c r="G269" s="34">
        <f>E269*F269</f>
        <v>24.734369</v>
      </c>
      <c r="H269" s="74"/>
    </row>
    <row r="270" spans="1:8" ht="15">
      <c r="A270" s="60"/>
      <c r="B270" s="61" t="s">
        <v>469</v>
      </c>
      <c r="C270" s="31" t="s">
        <v>470</v>
      </c>
      <c r="D270" s="32" t="s">
        <v>11</v>
      </c>
      <c r="E270" s="62">
        <v>0.02</v>
      </c>
      <c r="F270" s="33">
        <v>262.1498</v>
      </c>
      <c r="G270" s="34">
        <f>E270*F270</f>
        <v>5.242996000000001</v>
      </c>
      <c r="H270" s="74"/>
    </row>
    <row r="271" spans="1:8" ht="15">
      <c r="A271" s="60"/>
      <c r="B271" s="61"/>
      <c r="C271" s="31"/>
      <c r="D271" s="32"/>
      <c r="E271" s="62" t="s">
        <v>6</v>
      </c>
      <c r="F271" s="33"/>
      <c r="G271" s="34">
        <f>TRUNC(SUM(G266:G270),2)</f>
        <v>95.35</v>
      </c>
      <c r="H271" s="74"/>
    </row>
    <row r="272" spans="1:9" s="293" customFormat="1" ht="75">
      <c r="A272" s="290" t="s">
        <v>745</v>
      </c>
      <c r="B272" s="135" t="s">
        <v>817</v>
      </c>
      <c r="C272" s="27" t="s">
        <v>746</v>
      </c>
      <c r="D272" s="135" t="s">
        <v>9</v>
      </c>
      <c r="E272" s="135">
        <v>1</v>
      </c>
      <c r="F272" s="291">
        <v>1316.94</v>
      </c>
      <c r="G272" s="292">
        <f>TRUNC((E272*F272),2)</f>
        <v>1316.94</v>
      </c>
      <c r="H272" s="9">
        <f>TRUNC((F272*1.2338),2)</f>
        <v>1624.84</v>
      </c>
      <c r="I272" s="293" t="s">
        <v>797</v>
      </c>
    </row>
    <row r="273" spans="1:8" s="300" customFormat="1" ht="90">
      <c r="A273" s="294"/>
      <c r="B273" s="295" t="s">
        <v>713</v>
      </c>
      <c r="C273" s="35" t="s">
        <v>714</v>
      </c>
      <c r="D273" s="295" t="s">
        <v>11</v>
      </c>
      <c r="E273" s="296">
        <v>0.932</v>
      </c>
      <c r="F273" s="297">
        <f>G289</f>
        <v>1313.6</v>
      </c>
      <c r="G273" s="298">
        <f aca="true" t="shared" si="15" ref="G273:G288">TRUNC(E273*F273,2)</f>
        <v>1224.27</v>
      </c>
      <c r="H273" s="299" t="s">
        <v>715</v>
      </c>
    </row>
    <row r="274" spans="1:8" s="293" customFormat="1" ht="47.25">
      <c r="A274" s="301"/>
      <c r="B274" s="302"/>
      <c r="C274" s="55" t="s">
        <v>716</v>
      </c>
      <c r="D274" s="302" t="s">
        <v>11</v>
      </c>
      <c r="E274" s="302">
        <v>1</v>
      </c>
      <c r="F274" s="303">
        <f>F290</f>
        <v>412.19</v>
      </c>
      <c r="G274" s="304">
        <f t="shared" si="15"/>
        <v>412.19</v>
      </c>
      <c r="H274" s="299"/>
    </row>
    <row r="275" spans="1:8" s="300" customFormat="1" ht="21">
      <c r="A275" s="305"/>
      <c r="B275" s="306" t="s">
        <v>717</v>
      </c>
      <c r="C275" s="31" t="s">
        <v>718</v>
      </c>
      <c r="D275" s="306" t="s">
        <v>17</v>
      </c>
      <c r="E275" s="306">
        <v>12</v>
      </c>
      <c r="F275" s="307">
        <v>4.9</v>
      </c>
      <c r="G275" s="308">
        <f t="shared" si="15"/>
        <v>58.8</v>
      </c>
      <c r="H275" s="299"/>
    </row>
    <row r="276" spans="1:8" s="300" customFormat="1" ht="21">
      <c r="A276" s="305"/>
      <c r="B276" s="306" t="s">
        <v>719</v>
      </c>
      <c r="C276" s="31" t="s">
        <v>720</v>
      </c>
      <c r="D276" s="306" t="s">
        <v>17</v>
      </c>
      <c r="E276" s="306">
        <v>10</v>
      </c>
      <c r="F276" s="307">
        <v>4.95</v>
      </c>
      <c r="G276" s="308">
        <f t="shared" si="15"/>
        <v>49.5</v>
      </c>
      <c r="H276" s="299"/>
    </row>
    <row r="277" spans="1:8" s="300" customFormat="1" ht="21">
      <c r="A277" s="305"/>
      <c r="B277" s="306" t="s">
        <v>721</v>
      </c>
      <c r="C277" s="31" t="s">
        <v>722</v>
      </c>
      <c r="D277" s="306" t="s">
        <v>17</v>
      </c>
      <c r="E277" s="306">
        <v>10</v>
      </c>
      <c r="F277" s="307">
        <v>4.62</v>
      </c>
      <c r="G277" s="308">
        <f t="shared" si="15"/>
        <v>46.2</v>
      </c>
      <c r="H277" s="299"/>
    </row>
    <row r="278" spans="1:8" s="300" customFormat="1" ht="21">
      <c r="A278" s="305"/>
      <c r="B278" s="306" t="s">
        <v>723</v>
      </c>
      <c r="C278" s="31" t="s">
        <v>724</v>
      </c>
      <c r="D278" s="306" t="s">
        <v>17</v>
      </c>
      <c r="E278" s="306">
        <v>4</v>
      </c>
      <c r="F278" s="307">
        <v>4.49</v>
      </c>
      <c r="G278" s="308">
        <f t="shared" si="15"/>
        <v>17.96</v>
      </c>
      <c r="H278" s="299"/>
    </row>
    <row r="279" spans="1:8" s="300" customFormat="1" ht="21">
      <c r="A279" s="305"/>
      <c r="B279" s="306" t="s">
        <v>725</v>
      </c>
      <c r="C279" s="31" t="s">
        <v>726</v>
      </c>
      <c r="D279" s="306" t="s">
        <v>17</v>
      </c>
      <c r="E279" s="306">
        <v>12</v>
      </c>
      <c r="F279" s="307">
        <v>4.49</v>
      </c>
      <c r="G279" s="308">
        <f t="shared" si="15"/>
        <v>53.88</v>
      </c>
      <c r="H279" s="299"/>
    </row>
    <row r="280" spans="1:8" s="300" customFormat="1" ht="21">
      <c r="A280" s="305"/>
      <c r="B280" s="306" t="s">
        <v>727</v>
      </c>
      <c r="C280" s="31" t="s">
        <v>728</v>
      </c>
      <c r="D280" s="306" t="s">
        <v>17</v>
      </c>
      <c r="E280" s="306">
        <v>12</v>
      </c>
      <c r="F280" s="307">
        <v>4.71</v>
      </c>
      <c r="G280" s="308">
        <f t="shared" si="15"/>
        <v>56.52</v>
      </c>
      <c r="H280" s="299"/>
    </row>
    <row r="281" spans="1:8" s="300" customFormat="1" ht="21">
      <c r="A281" s="305"/>
      <c r="B281" s="306" t="s">
        <v>327</v>
      </c>
      <c r="C281" s="31" t="s">
        <v>328</v>
      </c>
      <c r="D281" s="306" t="s">
        <v>17</v>
      </c>
      <c r="E281" s="306">
        <v>1.8</v>
      </c>
      <c r="F281" s="307">
        <v>6.4</v>
      </c>
      <c r="G281" s="308">
        <f t="shared" si="15"/>
        <v>11.52</v>
      </c>
      <c r="H281" s="299"/>
    </row>
    <row r="282" spans="1:8" s="300" customFormat="1" ht="30">
      <c r="A282" s="305"/>
      <c r="B282" s="306" t="s">
        <v>7</v>
      </c>
      <c r="C282" s="31" t="s">
        <v>8</v>
      </c>
      <c r="D282" s="306" t="s">
        <v>3</v>
      </c>
      <c r="E282" s="306">
        <v>9.4245</v>
      </c>
      <c r="F282" s="307">
        <v>14.47</v>
      </c>
      <c r="G282" s="308">
        <f t="shared" si="15"/>
        <v>136.37</v>
      </c>
      <c r="H282" s="299"/>
    </row>
    <row r="283" spans="1:8" s="300" customFormat="1" ht="30">
      <c r="A283" s="305"/>
      <c r="B283" s="306" t="s">
        <v>729</v>
      </c>
      <c r="C283" s="31" t="s">
        <v>730</v>
      </c>
      <c r="D283" s="306" t="s">
        <v>3</v>
      </c>
      <c r="E283" s="306">
        <v>6.3345</v>
      </c>
      <c r="F283" s="307">
        <v>19.97</v>
      </c>
      <c r="G283" s="308">
        <f t="shared" si="15"/>
        <v>126.49</v>
      </c>
      <c r="H283" s="299"/>
    </row>
    <row r="284" spans="1:8" s="300" customFormat="1" ht="30">
      <c r="A284" s="305"/>
      <c r="B284" s="306" t="s">
        <v>329</v>
      </c>
      <c r="C284" s="31" t="s">
        <v>330</v>
      </c>
      <c r="D284" s="306" t="s">
        <v>3</v>
      </c>
      <c r="E284" s="306">
        <v>0.515</v>
      </c>
      <c r="F284" s="307">
        <v>19.97</v>
      </c>
      <c r="G284" s="308">
        <f t="shared" si="15"/>
        <v>10.28</v>
      </c>
      <c r="H284" s="299"/>
    </row>
    <row r="285" spans="1:8" s="300" customFormat="1" ht="21">
      <c r="A285" s="305"/>
      <c r="B285" s="306" t="s">
        <v>135</v>
      </c>
      <c r="C285" s="31" t="s">
        <v>136</v>
      </c>
      <c r="D285" s="306" t="s">
        <v>3</v>
      </c>
      <c r="E285" s="306">
        <v>0.515</v>
      </c>
      <c r="F285" s="307">
        <v>19.97</v>
      </c>
      <c r="G285" s="308">
        <f t="shared" si="15"/>
        <v>10.28</v>
      </c>
      <c r="H285" s="299"/>
    </row>
    <row r="286" spans="1:8" s="300" customFormat="1" ht="21">
      <c r="A286" s="301"/>
      <c r="B286" s="302" t="s">
        <v>731</v>
      </c>
      <c r="C286" s="55" t="s">
        <v>732</v>
      </c>
      <c r="D286" s="302" t="s">
        <v>0</v>
      </c>
      <c r="E286" s="302">
        <v>4.17</v>
      </c>
      <c r="F286" s="303">
        <v>77.4724</v>
      </c>
      <c r="G286" s="304">
        <f t="shared" si="15"/>
        <v>323.05</v>
      </c>
      <c r="H286" s="299" t="s">
        <v>733</v>
      </c>
    </row>
    <row r="287" spans="1:8" s="300" customFormat="1" ht="21">
      <c r="A287" s="305"/>
      <c r="B287" s="306" t="s">
        <v>734</v>
      </c>
      <c r="C287" s="31" t="s">
        <v>735</v>
      </c>
      <c r="D287" s="306" t="s">
        <v>3</v>
      </c>
      <c r="E287" s="306">
        <v>0.805</v>
      </c>
      <c r="F287" s="307">
        <v>0.221</v>
      </c>
      <c r="G287" s="308">
        <f t="shared" si="15"/>
        <v>0.17</v>
      </c>
      <c r="H287" s="299"/>
    </row>
    <row r="288" spans="1:8" s="300" customFormat="1" ht="21">
      <c r="A288" s="305"/>
      <c r="B288" s="306" t="s">
        <v>736</v>
      </c>
      <c r="C288" s="31" t="s">
        <v>737</v>
      </c>
      <c r="D288" s="306" t="s">
        <v>3</v>
      </c>
      <c r="E288" s="306">
        <v>0.345</v>
      </c>
      <c r="F288" s="307">
        <v>1.1446</v>
      </c>
      <c r="G288" s="308">
        <f t="shared" si="15"/>
        <v>0.39</v>
      </c>
      <c r="H288" s="299"/>
    </row>
    <row r="289" spans="1:8" s="300" customFormat="1" ht="21">
      <c r="A289" s="305"/>
      <c r="B289" s="306"/>
      <c r="C289" s="31"/>
      <c r="D289" s="306"/>
      <c r="E289" s="302" t="s">
        <v>6</v>
      </c>
      <c r="F289" s="307"/>
      <c r="G289" s="308">
        <f>TRUNC(SUM(G274:G288),2)</f>
        <v>1313.6</v>
      </c>
      <c r="H289" s="299"/>
    </row>
    <row r="290" spans="1:7" s="300" customFormat="1" ht="60">
      <c r="A290" s="305"/>
      <c r="B290" s="306" t="s">
        <v>738</v>
      </c>
      <c r="C290" s="31" t="s">
        <v>739</v>
      </c>
      <c r="D290" s="306" t="s">
        <v>11</v>
      </c>
      <c r="E290" s="306">
        <v>1</v>
      </c>
      <c r="F290" s="307">
        <f>G296</f>
        <v>412.19</v>
      </c>
      <c r="G290" s="308">
        <f>TRUNC(E290*F290,2)</f>
        <v>412.19</v>
      </c>
    </row>
    <row r="291" spans="1:7" s="300" customFormat="1" ht="30">
      <c r="A291" s="305"/>
      <c r="B291" s="306" t="s">
        <v>740</v>
      </c>
      <c r="C291" s="31" t="s">
        <v>741</v>
      </c>
      <c r="D291" s="306" t="s">
        <v>448</v>
      </c>
      <c r="E291" s="306">
        <v>1.208865</v>
      </c>
      <c r="F291" s="307">
        <v>50.01</v>
      </c>
      <c r="G291" s="308">
        <f>E291*F291</f>
        <v>60.45533865</v>
      </c>
    </row>
    <row r="292" spans="1:7" s="300" customFormat="1" ht="15.75">
      <c r="A292" s="305"/>
      <c r="B292" s="306" t="s">
        <v>742</v>
      </c>
      <c r="C292" s="31" t="s">
        <v>772</v>
      </c>
      <c r="D292" s="306" t="s">
        <v>17</v>
      </c>
      <c r="E292" s="306">
        <v>409.5</v>
      </c>
      <c r="F292" s="310">
        <v>0.347</v>
      </c>
      <c r="G292" s="308">
        <f>E292*F292</f>
        <v>142.0965</v>
      </c>
    </row>
    <row r="293" spans="1:7" s="300" customFormat="1" ht="15.75">
      <c r="A293" s="305"/>
      <c r="B293" s="306" t="s">
        <v>743</v>
      </c>
      <c r="C293" s="31" t="s">
        <v>744</v>
      </c>
      <c r="D293" s="306" t="s">
        <v>11</v>
      </c>
      <c r="E293" s="306">
        <v>0.6194999999999999</v>
      </c>
      <c r="F293" s="307">
        <v>56</v>
      </c>
      <c r="G293" s="308">
        <f>E293*F293</f>
        <v>34.69199999999999</v>
      </c>
    </row>
    <row r="294" spans="1:7" s="300" customFormat="1" ht="15.75">
      <c r="A294" s="305"/>
      <c r="B294" s="306" t="s">
        <v>692</v>
      </c>
      <c r="C294" s="31" t="s">
        <v>693</v>
      </c>
      <c r="D294" s="306" t="s">
        <v>11</v>
      </c>
      <c r="E294" s="306">
        <v>1</v>
      </c>
      <c r="F294" s="307">
        <v>103.4865</v>
      </c>
      <c r="G294" s="308">
        <f>E294*F294</f>
        <v>103.4865</v>
      </c>
    </row>
    <row r="295" spans="1:7" s="300" customFormat="1" ht="15.75">
      <c r="A295" s="305"/>
      <c r="B295" s="306" t="s">
        <v>694</v>
      </c>
      <c r="C295" s="31" t="s">
        <v>695</v>
      </c>
      <c r="D295" s="306" t="s">
        <v>11</v>
      </c>
      <c r="E295" s="306">
        <v>1</v>
      </c>
      <c r="F295" s="307">
        <v>71.4626</v>
      </c>
      <c r="G295" s="308">
        <f>E295*F295</f>
        <v>71.4626</v>
      </c>
    </row>
    <row r="296" spans="1:7" s="300" customFormat="1" ht="15.75">
      <c r="A296" s="305"/>
      <c r="B296" s="306"/>
      <c r="C296" s="31"/>
      <c r="D296" s="306"/>
      <c r="E296" s="306" t="s">
        <v>6</v>
      </c>
      <c r="F296" s="307"/>
      <c r="G296" s="308">
        <f>TRUNC(SUM(G291:G295),2)</f>
        <v>412.19</v>
      </c>
    </row>
    <row r="297" spans="1:8" s="293" customFormat="1" ht="45">
      <c r="A297" s="312" t="s">
        <v>818</v>
      </c>
      <c r="B297" s="313" t="s">
        <v>819</v>
      </c>
      <c r="C297" s="24" t="s">
        <v>820</v>
      </c>
      <c r="D297" s="313" t="s">
        <v>10</v>
      </c>
      <c r="E297" s="313">
        <v>28.11</v>
      </c>
      <c r="F297" s="314">
        <v>21.9</v>
      </c>
      <c r="G297" s="315">
        <f>TRUNC((E297*F297),2)</f>
        <v>615.6</v>
      </c>
      <c r="H297" s="9">
        <f>TRUNC((F297*1.2338),2)</f>
        <v>27.02</v>
      </c>
    </row>
    <row r="298" spans="1:8" s="300" customFormat="1" ht="45">
      <c r="A298" s="294"/>
      <c r="B298" s="295" t="s">
        <v>819</v>
      </c>
      <c r="C298" s="35" t="s">
        <v>820</v>
      </c>
      <c r="D298" s="295" t="s">
        <v>10</v>
      </c>
      <c r="E298" s="295">
        <v>1</v>
      </c>
      <c r="F298" s="297">
        <f>G303</f>
        <v>23.66</v>
      </c>
      <c r="G298" s="298">
        <f>TRUNC(E298*F298,2)</f>
        <v>23.66</v>
      </c>
      <c r="H298" s="299"/>
    </row>
    <row r="299" spans="1:8" s="300" customFormat="1" ht="21">
      <c r="A299" s="305"/>
      <c r="B299" s="306" t="s">
        <v>821</v>
      </c>
      <c r="C299" s="31" t="s">
        <v>822</v>
      </c>
      <c r="D299" s="306" t="s">
        <v>10</v>
      </c>
      <c r="E299" s="306">
        <v>1.05</v>
      </c>
      <c r="F299" s="307">
        <f>TRUNC(19.62,2)</f>
        <v>19.62</v>
      </c>
      <c r="G299" s="308">
        <f>TRUNC(E299*F299,2)</f>
        <v>20.6</v>
      </c>
      <c r="H299" s="299"/>
    </row>
    <row r="300" spans="1:8" s="300" customFormat="1" ht="30">
      <c r="A300" s="305"/>
      <c r="B300" s="306" t="s">
        <v>151</v>
      </c>
      <c r="C300" s="31" t="s">
        <v>152</v>
      </c>
      <c r="D300" s="306" t="s">
        <v>9</v>
      </c>
      <c r="E300" s="306">
        <v>0.0104</v>
      </c>
      <c r="F300" s="307">
        <f>TRUNC(19.84,2)</f>
        <v>19.84</v>
      </c>
      <c r="G300" s="308">
        <f>TRUNC(E300*F300,2)</f>
        <v>0.2</v>
      </c>
      <c r="H300" s="299"/>
    </row>
    <row r="301" spans="1:8" s="300" customFormat="1" ht="21">
      <c r="A301" s="305"/>
      <c r="B301" s="306" t="s">
        <v>1</v>
      </c>
      <c r="C301" s="31" t="s">
        <v>2</v>
      </c>
      <c r="D301" s="306" t="s">
        <v>3</v>
      </c>
      <c r="E301" s="306">
        <v>0.06</v>
      </c>
      <c r="F301" s="307">
        <f>TRUNC(21.24,2)</f>
        <v>21.24</v>
      </c>
      <c r="G301" s="308">
        <f>TRUNC(E301*F301,2)</f>
        <v>1.27</v>
      </c>
      <c r="H301" s="299"/>
    </row>
    <row r="302" spans="1:8" s="300" customFormat="1" ht="21">
      <c r="A302" s="305"/>
      <c r="B302" s="306" t="s">
        <v>145</v>
      </c>
      <c r="C302" s="31" t="s">
        <v>78</v>
      </c>
      <c r="D302" s="306" t="s">
        <v>3</v>
      </c>
      <c r="E302" s="306">
        <v>0.06</v>
      </c>
      <c r="F302" s="307">
        <f>TRUNC(26.63,2)</f>
        <v>26.63</v>
      </c>
      <c r="G302" s="308">
        <f>TRUNC(E302*F302,2)</f>
        <v>1.59</v>
      </c>
      <c r="H302" s="299"/>
    </row>
    <row r="303" spans="1:8" s="300" customFormat="1" ht="21">
      <c r="A303" s="316"/>
      <c r="B303" s="317"/>
      <c r="C303" s="85"/>
      <c r="D303" s="317"/>
      <c r="E303" s="317" t="s">
        <v>6</v>
      </c>
      <c r="F303" s="318"/>
      <c r="G303" s="319">
        <f>TRUNC(SUM(G299:G302),2)</f>
        <v>23.66</v>
      </c>
      <c r="H303" s="299"/>
    </row>
    <row r="304" spans="1:8" ht="15.75">
      <c r="A304" s="106" t="s">
        <v>41</v>
      </c>
      <c r="B304" s="107"/>
      <c r="C304" s="108"/>
      <c r="D304" s="109"/>
      <c r="E304" s="378" t="s">
        <v>83</v>
      </c>
      <c r="F304" s="378"/>
      <c r="G304" s="110">
        <f>G152+G158+G167+G180+G193+G200+G209+G218+G227+G242+G252+G272+G297</f>
        <v>73409.55</v>
      </c>
      <c r="H304" s="9">
        <f>TRUNC((F304*1.2338),2)</f>
        <v>0</v>
      </c>
    </row>
    <row r="305" spans="1:8" ht="15.75">
      <c r="A305" s="44" t="s">
        <v>84</v>
      </c>
      <c r="B305" s="44"/>
      <c r="C305" s="45" t="s">
        <v>341</v>
      </c>
      <c r="D305" s="149"/>
      <c r="E305" s="46"/>
      <c r="F305" s="47"/>
      <c r="G305" s="48"/>
      <c r="H305" s="9"/>
    </row>
    <row r="306" spans="1:8" ht="105">
      <c r="A306" s="49" t="s">
        <v>261</v>
      </c>
      <c r="B306" s="25" t="s">
        <v>325</v>
      </c>
      <c r="C306" s="24" t="s">
        <v>326</v>
      </c>
      <c r="D306" s="25" t="s">
        <v>9</v>
      </c>
      <c r="E306" s="50">
        <v>1</v>
      </c>
      <c r="F306" s="26">
        <v>536.57</v>
      </c>
      <c r="G306" s="39">
        <f>TRUNC((E306*F306),2)</f>
        <v>536.57</v>
      </c>
      <c r="H306" s="9">
        <f>TRUNC((F306*1.2338),2)</f>
        <v>662.02</v>
      </c>
    </row>
    <row r="307" spans="1:8" ht="105">
      <c r="A307" s="51"/>
      <c r="B307" s="36" t="s">
        <v>325</v>
      </c>
      <c r="C307" s="35" t="s">
        <v>326</v>
      </c>
      <c r="D307" s="36" t="s">
        <v>9</v>
      </c>
      <c r="E307" s="53">
        <v>1</v>
      </c>
      <c r="F307" s="37">
        <f>G323</f>
        <v>545.95</v>
      </c>
      <c r="G307" s="38">
        <f aca="true" t="shared" si="16" ref="G307:G322">TRUNC(E307*F307,2)</f>
        <v>545.95</v>
      </c>
      <c r="H307" s="96"/>
    </row>
    <row r="308" spans="1:8" ht="15">
      <c r="A308" s="60"/>
      <c r="B308" s="32" t="s">
        <v>508</v>
      </c>
      <c r="C308" s="31" t="s">
        <v>509</v>
      </c>
      <c r="D308" s="32" t="s">
        <v>9</v>
      </c>
      <c r="E308" s="62">
        <v>1</v>
      </c>
      <c r="F308" s="33">
        <f>TRUNC(4.54,2)</f>
        <v>4.54</v>
      </c>
      <c r="G308" s="34">
        <f t="shared" si="16"/>
        <v>4.54</v>
      </c>
      <c r="H308" s="96"/>
    </row>
    <row r="309" spans="1:8" ht="30">
      <c r="A309" s="60"/>
      <c r="B309" s="32" t="s">
        <v>510</v>
      </c>
      <c r="C309" s="31" t="s">
        <v>511</v>
      </c>
      <c r="D309" s="32" t="s">
        <v>9</v>
      </c>
      <c r="E309" s="62">
        <v>1</v>
      </c>
      <c r="F309" s="33">
        <f>TRUNC(14.96,2)</f>
        <v>14.96</v>
      </c>
      <c r="G309" s="34">
        <f t="shared" si="16"/>
        <v>14.96</v>
      </c>
      <c r="H309" s="96"/>
    </row>
    <row r="310" spans="1:8" ht="15">
      <c r="A310" s="60"/>
      <c r="B310" s="32" t="s">
        <v>397</v>
      </c>
      <c r="C310" s="31" t="s">
        <v>398</v>
      </c>
      <c r="D310" s="32" t="s">
        <v>9</v>
      </c>
      <c r="E310" s="62">
        <v>27</v>
      </c>
      <c r="F310" s="33">
        <f>TRUNC(0.49,2)</f>
        <v>0.49</v>
      </c>
      <c r="G310" s="34">
        <f t="shared" si="16"/>
        <v>13.23</v>
      </c>
      <c r="H310" s="96"/>
    </row>
    <row r="311" spans="1:8" ht="15">
      <c r="A311" s="60"/>
      <c r="B311" s="32" t="s">
        <v>512</v>
      </c>
      <c r="C311" s="31" t="s">
        <v>513</v>
      </c>
      <c r="D311" s="32" t="s">
        <v>10</v>
      </c>
      <c r="E311" s="62">
        <v>1.2</v>
      </c>
      <c r="F311" s="33">
        <f>TRUNC(6.42,2)</f>
        <v>6.42</v>
      </c>
      <c r="G311" s="34">
        <f t="shared" si="16"/>
        <v>7.7</v>
      </c>
      <c r="H311" s="96"/>
    </row>
    <row r="312" spans="1:8" ht="30">
      <c r="A312" s="60"/>
      <c r="B312" s="32" t="s">
        <v>514</v>
      </c>
      <c r="C312" s="31" t="s">
        <v>515</v>
      </c>
      <c r="D312" s="32" t="s">
        <v>17</v>
      </c>
      <c r="E312" s="62">
        <v>3.5</v>
      </c>
      <c r="F312" s="33">
        <f>TRUNC(7.371,2)</f>
        <v>7.37</v>
      </c>
      <c r="G312" s="34">
        <f t="shared" si="16"/>
        <v>25.79</v>
      </c>
      <c r="H312" s="96"/>
    </row>
    <row r="313" spans="1:8" ht="15">
      <c r="A313" s="60"/>
      <c r="B313" s="32" t="s">
        <v>498</v>
      </c>
      <c r="C313" s="31" t="s">
        <v>499</v>
      </c>
      <c r="D313" s="32" t="s">
        <v>17</v>
      </c>
      <c r="E313" s="62">
        <v>2.05</v>
      </c>
      <c r="F313" s="33">
        <f>TRUNC(4.02,2)</f>
        <v>4.02</v>
      </c>
      <c r="G313" s="34">
        <f t="shared" si="16"/>
        <v>8.24</v>
      </c>
      <c r="H313" s="96"/>
    </row>
    <row r="314" spans="1:8" ht="30">
      <c r="A314" s="60"/>
      <c r="B314" s="32" t="s">
        <v>516</v>
      </c>
      <c r="C314" s="31" t="s">
        <v>517</v>
      </c>
      <c r="D314" s="32" t="s">
        <v>17</v>
      </c>
      <c r="E314" s="62">
        <v>4</v>
      </c>
      <c r="F314" s="33">
        <f>TRUNC(4.9,2)</f>
        <v>4.9</v>
      </c>
      <c r="G314" s="34">
        <f t="shared" si="16"/>
        <v>19.6</v>
      </c>
      <c r="H314" s="96"/>
    </row>
    <row r="315" spans="1:8" ht="15">
      <c r="A315" s="60"/>
      <c r="B315" s="32" t="s">
        <v>327</v>
      </c>
      <c r="C315" s="31" t="s">
        <v>328</v>
      </c>
      <c r="D315" s="32" t="s">
        <v>17</v>
      </c>
      <c r="E315" s="62">
        <v>0.03</v>
      </c>
      <c r="F315" s="33">
        <f>TRUNC(6.4,2)</f>
        <v>6.4</v>
      </c>
      <c r="G315" s="34">
        <f t="shared" si="16"/>
        <v>0.19</v>
      </c>
      <c r="H315" s="96"/>
    </row>
    <row r="316" spans="1:8" ht="30">
      <c r="A316" s="60"/>
      <c r="B316" s="32" t="s">
        <v>124</v>
      </c>
      <c r="C316" s="31" t="s">
        <v>125</v>
      </c>
      <c r="D316" s="32" t="s">
        <v>3</v>
      </c>
      <c r="E316" s="62">
        <v>7.622000000000001</v>
      </c>
      <c r="F316" s="33">
        <f>TRUNC(21.49,2)</f>
        <v>21.49</v>
      </c>
      <c r="G316" s="34">
        <f t="shared" si="16"/>
        <v>163.79</v>
      </c>
      <c r="H316" s="96"/>
    </row>
    <row r="317" spans="1:8" ht="30">
      <c r="A317" s="60"/>
      <c r="B317" s="32" t="s">
        <v>7</v>
      </c>
      <c r="C317" s="31" t="s">
        <v>8</v>
      </c>
      <c r="D317" s="32" t="s">
        <v>3</v>
      </c>
      <c r="E317" s="62">
        <v>13.987400000000001</v>
      </c>
      <c r="F317" s="33">
        <f>TRUNC(14.47,2)</f>
        <v>14.47</v>
      </c>
      <c r="G317" s="34">
        <f t="shared" si="16"/>
        <v>202.39</v>
      </c>
      <c r="H317" s="96"/>
    </row>
    <row r="318" spans="1:8" ht="30">
      <c r="A318" s="60"/>
      <c r="B318" s="32" t="s">
        <v>329</v>
      </c>
      <c r="C318" s="31" t="s">
        <v>330</v>
      </c>
      <c r="D318" s="32" t="s">
        <v>3</v>
      </c>
      <c r="E318" s="62">
        <v>0.5871</v>
      </c>
      <c r="F318" s="33">
        <f>TRUNC(19.97,2)</f>
        <v>19.97</v>
      </c>
      <c r="G318" s="34">
        <f t="shared" si="16"/>
        <v>11.72</v>
      </c>
      <c r="H318" s="96"/>
    </row>
    <row r="319" spans="1:8" ht="15">
      <c r="A319" s="60"/>
      <c r="B319" s="32" t="s">
        <v>135</v>
      </c>
      <c r="C319" s="31" t="s">
        <v>136</v>
      </c>
      <c r="D319" s="32" t="s">
        <v>3</v>
      </c>
      <c r="E319" s="62">
        <v>2.5235000000000003</v>
      </c>
      <c r="F319" s="33">
        <f>TRUNC(19.97,2)</f>
        <v>19.97</v>
      </c>
      <c r="G319" s="34">
        <f t="shared" si="16"/>
        <v>50.39</v>
      </c>
      <c r="H319" s="96"/>
    </row>
    <row r="320" spans="1:8" ht="15">
      <c r="A320" s="60"/>
      <c r="B320" s="32" t="s">
        <v>121</v>
      </c>
      <c r="C320" s="31" t="s">
        <v>122</v>
      </c>
      <c r="D320" s="32" t="s">
        <v>11</v>
      </c>
      <c r="E320" s="62">
        <v>0.0269</v>
      </c>
      <c r="F320" s="33">
        <f>TRUNC(209.7567,2)</f>
        <v>209.75</v>
      </c>
      <c r="G320" s="34">
        <f t="shared" si="16"/>
        <v>5.64</v>
      </c>
      <c r="H320" s="96"/>
    </row>
    <row r="321" spans="1:8" ht="15">
      <c r="A321" s="60"/>
      <c r="B321" s="32" t="s">
        <v>500</v>
      </c>
      <c r="C321" s="31" t="s">
        <v>501</v>
      </c>
      <c r="D321" s="32" t="s">
        <v>11</v>
      </c>
      <c r="E321" s="62">
        <v>0.0168</v>
      </c>
      <c r="F321" s="33">
        <f>TRUNC(196.0301,2)</f>
        <v>196.03</v>
      </c>
      <c r="G321" s="34">
        <f t="shared" si="16"/>
        <v>3.29</v>
      </c>
      <c r="H321" s="96"/>
    </row>
    <row r="322" spans="1:8" ht="15">
      <c r="A322" s="60"/>
      <c r="B322" s="32" t="s">
        <v>518</v>
      </c>
      <c r="C322" s="31" t="s">
        <v>519</v>
      </c>
      <c r="D322" s="32" t="s">
        <v>11</v>
      </c>
      <c r="E322" s="62">
        <v>0.064</v>
      </c>
      <c r="F322" s="33">
        <f>TRUNC(226.3546,2)</f>
        <v>226.35</v>
      </c>
      <c r="G322" s="34">
        <f t="shared" si="16"/>
        <v>14.48</v>
      </c>
      <c r="H322" s="96"/>
    </row>
    <row r="323" spans="1:8" ht="15">
      <c r="A323" s="60"/>
      <c r="B323" s="32"/>
      <c r="C323" s="31"/>
      <c r="D323" s="32"/>
      <c r="E323" s="62" t="s">
        <v>6</v>
      </c>
      <c r="F323" s="33"/>
      <c r="G323" s="34">
        <f>TRUNC(SUM(G308:G322),2)</f>
        <v>545.95</v>
      </c>
      <c r="H323" s="96"/>
    </row>
    <row r="324" spans="1:9" ht="30">
      <c r="A324" s="65" t="s">
        <v>262</v>
      </c>
      <c r="B324" s="67" t="s">
        <v>331</v>
      </c>
      <c r="C324" s="66" t="s">
        <v>332</v>
      </c>
      <c r="D324" s="67" t="s">
        <v>10</v>
      </c>
      <c r="E324" s="280">
        <v>61</v>
      </c>
      <c r="F324" s="69">
        <v>19.97</v>
      </c>
      <c r="G324" s="70">
        <f>TRUNC((E324*F324),2)</f>
        <v>1218.17</v>
      </c>
      <c r="H324" s="9">
        <f>TRUNC((F324*1.2338),2)</f>
        <v>24.63</v>
      </c>
      <c r="I324" s="1" t="s">
        <v>520</v>
      </c>
    </row>
    <row r="325" spans="1:8" ht="30">
      <c r="A325" s="51"/>
      <c r="B325" s="36" t="s">
        <v>331</v>
      </c>
      <c r="C325" s="35" t="s">
        <v>332</v>
      </c>
      <c r="D325" s="36" t="s">
        <v>10</v>
      </c>
      <c r="E325" s="53">
        <v>1</v>
      </c>
      <c r="F325" s="37">
        <f>G330</f>
        <v>20.35</v>
      </c>
      <c r="G325" s="38">
        <f>TRUNC(E325*F325,2)</f>
        <v>20.35</v>
      </c>
      <c r="H325" s="96"/>
    </row>
    <row r="326" spans="1:8" ht="15">
      <c r="A326" s="60"/>
      <c r="B326" s="32" t="s">
        <v>333</v>
      </c>
      <c r="C326" s="31" t="s">
        <v>334</v>
      </c>
      <c r="D326" s="32" t="s">
        <v>9</v>
      </c>
      <c r="E326" s="62">
        <v>0.123</v>
      </c>
      <c r="F326" s="33">
        <v>1.59</v>
      </c>
      <c r="G326" s="34">
        <f>TRUNC(E326*F326,2)</f>
        <v>0.19</v>
      </c>
      <c r="H326" s="96"/>
    </row>
    <row r="327" spans="1:8" ht="15">
      <c r="A327" s="60"/>
      <c r="B327" s="32" t="s">
        <v>335</v>
      </c>
      <c r="C327" s="31" t="s">
        <v>336</v>
      </c>
      <c r="D327" s="32" t="s">
        <v>10</v>
      </c>
      <c r="E327" s="62">
        <v>1.061</v>
      </c>
      <c r="F327" s="33">
        <v>2.48</v>
      </c>
      <c r="G327" s="34">
        <f>TRUNC(E327*F327,2)</f>
        <v>2.63</v>
      </c>
      <c r="H327" s="96"/>
    </row>
    <row r="328" spans="1:8" ht="15">
      <c r="A328" s="60"/>
      <c r="B328" s="32" t="s">
        <v>143</v>
      </c>
      <c r="C328" s="31" t="s">
        <v>114</v>
      </c>
      <c r="D328" s="32" t="s">
        <v>3</v>
      </c>
      <c r="E328" s="62">
        <v>0.369</v>
      </c>
      <c r="F328" s="33">
        <f>TRUNC(26.66,2)</f>
        <v>26.66</v>
      </c>
      <c r="G328" s="34">
        <f>TRUNC(E328*F328,2)</f>
        <v>9.83</v>
      </c>
      <c r="H328" s="96"/>
    </row>
    <row r="329" spans="1:8" ht="30">
      <c r="A329" s="60"/>
      <c r="B329" s="32" t="s">
        <v>144</v>
      </c>
      <c r="C329" s="31" t="s">
        <v>115</v>
      </c>
      <c r="D329" s="32" t="s">
        <v>3</v>
      </c>
      <c r="E329" s="62">
        <v>0.369</v>
      </c>
      <c r="F329" s="33">
        <f>TRUNC(20.87,2)</f>
        <v>20.87</v>
      </c>
      <c r="G329" s="34">
        <f>TRUNC(E329*F329,2)</f>
        <v>7.7</v>
      </c>
      <c r="H329" s="96"/>
    </row>
    <row r="330" spans="1:8" ht="15">
      <c r="A330" s="81"/>
      <c r="B330" s="86"/>
      <c r="C330" s="85"/>
      <c r="D330" s="86"/>
      <c r="E330" s="87" t="s">
        <v>6</v>
      </c>
      <c r="F330" s="82"/>
      <c r="G330" s="83">
        <f>TRUNC(SUM(G326:G329),2)</f>
        <v>20.35</v>
      </c>
      <c r="H330" s="96"/>
    </row>
    <row r="331" spans="1:8" ht="30">
      <c r="A331" s="65" t="s">
        <v>322</v>
      </c>
      <c r="B331" s="67" t="s">
        <v>337</v>
      </c>
      <c r="C331" s="66" t="s">
        <v>338</v>
      </c>
      <c r="D331" s="67" t="s">
        <v>9</v>
      </c>
      <c r="E331" s="280">
        <v>2</v>
      </c>
      <c r="F331" s="69">
        <f>TRUNC(F332,2)</f>
        <v>21.41</v>
      </c>
      <c r="G331" s="70">
        <f>TRUNC((E331*F331),2)</f>
        <v>42.82</v>
      </c>
      <c r="H331" s="9">
        <f>TRUNC((F331*1.2338),2)</f>
        <v>26.41</v>
      </c>
    </row>
    <row r="332" spans="1:8" ht="30">
      <c r="A332" s="51"/>
      <c r="B332" s="36" t="s">
        <v>337</v>
      </c>
      <c r="C332" s="35" t="s">
        <v>338</v>
      </c>
      <c r="D332" s="36" t="s">
        <v>9</v>
      </c>
      <c r="E332" s="53">
        <v>1</v>
      </c>
      <c r="F332" s="37">
        <f>G334</f>
        <v>21.41</v>
      </c>
      <c r="G332" s="38">
        <f>TRUNC(E332*F332,2)</f>
        <v>21.41</v>
      </c>
      <c r="H332" s="91"/>
    </row>
    <row r="333" spans="1:8" ht="30">
      <c r="A333" s="60"/>
      <c r="B333" s="32" t="s">
        <v>521</v>
      </c>
      <c r="C333" s="31" t="s">
        <v>522</v>
      </c>
      <c r="D333" s="32" t="s">
        <v>9</v>
      </c>
      <c r="E333" s="62">
        <v>1</v>
      </c>
      <c r="F333" s="33">
        <v>21.41</v>
      </c>
      <c r="G333" s="34">
        <f>TRUNC(E333*F333,2)</f>
        <v>21.41</v>
      </c>
      <c r="H333" s="91"/>
    </row>
    <row r="334" spans="1:8" ht="15">
      <c r="A334" s="60"/>
      <c r="B334" s="32"/>
      <c r="C334" s="31"/>
      <c r="D334" s="32"/>
      <c r="E334" s="62" t="s">
        <v>6</v>
      </c>
      <c r="F334" s="33"/>
      <c r="G334" s="34">
        <f>TRUNC(SUM(G333:G333),2)</f>
        <v>21.41</v>
      </c>
      <c r="H334" s="91"/>
    </row>
    <row r="335" spans="1:8" s="281" customFormat="1" ht="60.75">
      <c r="A335" s="65" t="s">
        <v>323</v>
      </c>
      <c r="B335" s="283" t="s">
        <v>688</v>
      </c>
      <c r="C335" s="66" t="s">
        <v>683</v>
      </c>
      <c r="D335" s="67" t="s">
        <v>0</v>
      </c>
      <c r="E335" s="68">
        <f>TRUNC((2*(0.51*4*0.62)),2)+0.01</f>
        <v>2.53</v>
      </c>
      <c r="F335" s="69">
        <v>53.4</v>
      </c>
      <c r="G335" s="70">
        <f>TRUNC((E335*F335),2)</f>
        <v>135.1</v>
      </c>
      <c r="H335" s="9">
        <f>TRUNC((F335*1.2338),2)</f>
        <v>65.88</v>
      </c>
    </row>
    <row r="336" spans="1:8" s="282" customFormat="1" ht="60">
      <c r="A336" s="51" t="s">
        <v>64</v>
      </c>
      <c r="B336" s="285" t="s">
        <v>953</v>
      </c>
      <c r="C336" s="35" t="s">
        <v>954</v>
      </c>
      <c r="D336" s="36" t="s">
        <v>0</v>
      </c>
      <c r="E336" s="53">
        <v>1</v>
      </c>
      <c r="F336" s="37">
        <f>G343</f>
        <v>52.93</v>
      </c>
      <c r="G336" s="38">
        <f aca="true" t="shared" si="17" ref="G336:G342">TRUNC(E336*F336,2)</f>
        <v>52.93</v>
      </c>
      <c r="H336" s="286"/>
    </row>
    <row r="337" spans="1:8" s="282" customFormat="1" ht="30">
      <c r="A337" s="60"/>
      <c r="B337" s="287" t="s">
        <v>955</v>
      </c>
      <c r="C337" s="31" t="s">
        <v>956</v>
      </c>
      <c r="D337" s="32" t="s">
        <v>10</v>
      </c>
      <c r="E337" s="62">
        <v>0.785</v>
      </c>
      <c r="F337" s="33">
        <f>TRUNC(1.35,2)</f>
        <v>1.35</v>
      </c>
      <c r="G337" s="34">
        <f t="shared" si="17"/>
        <v>1.05</v>
      </c>
      <c r="H337" s="286"/>
    </row>
    <row r="338" spans="1:8" s="282" customFormat="1" ht="18.75">
      <c r="A338" s="60"/>
      <c r="B338" s="287" t="s">
        <v>957</v>
      </c>
      <c r="C338" s="31" t="s">
        <v>958</v>
      </c>
      <c r="D338" s="32" t="s">
        <v>959</v>
      </c>
      <c r="E338" s="62">
        <v>0.0094</v>
      </c>
      <c r="F338" s="33">
        <f>TRUNC(40.61,2)</f>
        <v>40.61</v>
      </c>
      <c r="G338" s="34">
        <f t="shared" si="17"/>
        <v>0.38</v>
      </c>
      <c r="H338" s="286"/>
    </row>
    <row r="339" spans="1:8" s="282" customFormat="1" ht="18.75">
      <c r="A339" s="60"/>
      <c r="B339" s="287" t="s">
        <v>960</v>
      </c>
      <c r="C339" s="31" t="s">
        <v>961</v>
      </c>
      <c r="D339" s="32" t="s">
        <v>9</v>
      </c>
      <c r="E339" s="62">
        <v>13.5</v>
      </c>
      <c r="F339" s="33">
        <f>TRUNC(1.5,2)</f>
        <v>1.5</v>
      </c>
      <c r="G339" s="34">
        <f t="shared" si="17"/>
        <v>20.25</v>
      </c>
      <c r="H339" s="286"/>
    </row>
    <row r="340" spans="1:8" s="282" customFormat="1" ht="18.75">
      <c r="A340" s="60"/>
      <c r="B340" s="287" t="s">
        <v>906</v>
      </c>
      <c r="C340" s="31" t="s">
        <v>2</v>
      </c>
      <c r="D340" s="32" t="s">
        <v>3</v>
      </c>
      <c r="E340" s="62">
        <v>0.36</v>
      </c>
      <c r="F340" s="33">
        <f>TRUNC(21.25,2)</f>
        <v>21.25</v>
      </c>
      <c r="G340" s="34">
        <f t="shared" si="17"/>
        <v>7.65</v>
      </c>
      <c r="H340" s="286"/>
    </row>
    <row r="341" spans="1:8" s="282" customFormat="1" ht="18.75">
      <c r="A341" s="60"/>
      <c r="B341" s="287" t="s">
        <v>907</v>
      </c>
      <c r="C341" s="31" t="s">
        <v>53</v>
      </c>
      <c r="D341" s="32" t="s">
        <v>3</v>
      </c>
      <c r="E341" s="62">
        <v>0.72</v>
      </c>
      <c r="F341" s="33">
        <f>TRUNC(26.96,2)</f>
        <v>26.96</v>
      </c>
      <c r="G341" s="34">
        <f t="shared" si="17"/>
        <v>19.41</v>
      </c>
      <c r="H341" s="286"/>
    </row>
    <row r="342" spans="1:8" s="282" customFormat="1" ht="45">
      <c r="A342" s="60"/>
      <c r="B342" s="287" t="s">
        <v>962</v>
      </c>
      <c r="C342" s="31" t="s">
        <v>963</v>
      </c>
      <c r="D342" s="32" t="s">
        <v>11</v>
      </c>
      <c r="E342" s="62">
        <v>0.008</v>
      </c>
      <c r="F342" s="33">
        <f>TRUNC(524.23,2)</f>
        <v>524.23</v>
      </c>
      <c r="G342" s="34">
        <f t="shared" si="17"/>
        <v>4.19</v>
      </c>
      <c r="H342" s="286"/>
    </row>
    <row r="343" spans="1:8" s="282" customFormat="1" ht="18.75">
      <c r="A343" s="60"/>
      <c r="B343" s="287"/>
      <c r="C343" s="31"/>
      <c r="D343" s="32"/>
      <c r="E343" s="62" t="s">
        <v>6</v>
      </c>
      <c r="F343" s="33"/>
      <c r="G343" s="34">
        <f>TRUNC(SUM(G337:G342),2)</f>
        <v>52.93</v>
      </c>
      <c r="H343" s="286"/>
    </row>
    <row r="344" spans="1:8" s="281" customFormat="1" ht="61.5">
      <c r="A344" s="63" t="s">
        <v>324</v>
      </c>
      <c r="B344" s="288" t="s">
        <v>689</v>
      </c>
      <c r="C344" s="27" t="s">
        <v>686</v>
      </c>
      <c r="D344" s="28" t="s">
        <v>0</v>
      </c>
      <c r="E344" s="64">
        <f>E335</f>
        <v>2.53</v>
      </c>
      <c r="F344" s="29">
        <v>39.29</v>
      </c>
      <c r="G344" s="30">
        <f>TRUNC((E344*F344),2)</f>
        <v>99.4</v>
      </c>
      <c r="H344" s="9">
        <f>TRUNC((F344*1.2338),2)</f>
        <v>48.47</v>
      </c>
    </row>
    <row r="345" spans="1:8" s="282" customFormat="1" ht="60">
      <c r="A345" s="219" t="s">
        <v>64</v>
      </c>
      <c r="B345" s="287" t="s">
        <v>689</v>
      </c>
      <c r="C345" s="31" t="s">
        <v>690</v>
      </c>
      <c r="D345" s="32" t="s">
        <v>0</v>
      </c>
      <c r="E345" s="62">
        <v>1</v>
      </c>
      <c r="F345" s="33">
        <f>G349</f>
        <v>39.91</v>
      </c>
      <c r="G345" s="191">
        <f>TRUNC(E345*F345,2)</f>
        <v>39.91</v>
      </c>
      <c r="H345" s="286"/>
    </row>
    <row r="346" spans="1:8" s="282" customFormat="1" ht="30">
      <c r="A346" s="219"/>
      <c r="B346" s="287" t="s">
        <v>7</v>
      </c>
      <c r="C346" s="31" t="s">
        <v>8</v>
      </c>
      <c r="D346" s="32" t="s">
        <v>3</v>
      </c>
      <c r="E346" s="62">
        <v>0.8240000000000001</v>
      </c>
      <c r="F346" s="33">
        <v>14.47</v>
      </c>
      <c r="G346" s="191">
        <f>E346*F346</f>
        <v>11.923280000000002</v>
      </c>
      <c r="H346" s="286"/>
    </row>
    <row r="347" spans="1:8" s="282" customFormat="1" ht="18.75">
      <c r="A347" s="219"/>
      <c r="B347" s="287" t="s">
        <v>135</v>
      </c>
      <c r="C347" s="31" t="s">
        <v>136</v>
      </c>
      <c r="D347" s="32" t="s">
        <v>3</v>
      </c>
      <c r="E347" s="62">
        <v>0.8240000000000001</v>
      </c>
      <c r="F347" s="33">
        <v>19.97</v>
      </c>
      <c r="G347" s="191">
        <f>E347*F347</f>
        <v>16.455280000000002</v>
      </c>
      <c r="H347" s="286"/>
    </row>
    <row r="348" spans="1:8" s="282" customFormat="1" ht="18.75">
      <c r="A348" s="219"/>
      <c r="B348" s="287" t="s">
        <v>121</v>
      </c>
      <c r="C348" s="31" t="s">
        <v>122</v>
      </c>
      <c r="D348" s="32" t="s">
        <v>11</v>
      </c>
      <c r="E348" s="62">
        <v>0.055</v>
      </c>
      <c r="F348" s="33">
        <v>209.7567</v>
      </c>
      <c r="G348" s="191">
        <f>E348*F348</f>
        <v>11.5366185</v>
      </c>
      <c r="H348" s="286"/>
    </row>
    <row r="349" spans="1:8" s="282" customFormat="1" ht="18.75">
      <c r="A349" s="219"/>
      <c r="B349" s="287"/>
      <c r="C349" s="31"/>
      <c r="D349" s="32"/>
      <c r="E349" s="62" t="s">
        <v>6</v>
      </c>
      <c r="F349" s="33"/>
      <c r="G349" s="191">
        <f>TRUNC(SUM(G346:G348),2)</f>
        <v>39.91</v>
      </c>
      <c r="H349" s="286"/>
    </row>
    <row r="350" spans="1:8" s="281" customFormat="1" ht="60.75">
      <c r="A350" s="63" t="s">
        <v>687</v>
      </c>
      <c r="B350" s="288" t="s">
        <v>691</v>
      </c>
      <c r="C350" s="27" t="s">
        <v>685</v>
      </c>
      <c r="D350" s="28" t="s">
        <v>11</v>
      </c>
      <c r="E350" s="311">
        <f>TRUNC((0.3*0.3*0.62*2),2)</f>
        <v>0.11</v>
      </c>
      <c r="F350" s="29">
        <v>381.04</v>
      </c>
      <c r="G350" s="30">
        <f>TRUNC((E350*F350),2)</f>
        <v>41.91</v>
      </c>
      <c r="H350" s="9">
        <f>TRUNC((F350*1.2338),2)</f>
        <v>470.12</v>
      </c>
    </row>
    <row r="351" spans="1:8" s="281" customFormat="1" ht="60">
      <c r="A351" s="60" t="s">
        <v>41</v>
      </c>
      <c r="B351" s="287" t="s">
        <v>691</v>
      </c>
      <c r="C351" s="31" t="s">
        <v>682</v>
      </c>
      <c r="D351" s="32" t="s">
        <v>11</v>
      </c>
      <c r="E351" s="62">
        <v>1</v>
      </c>
      <c r="F351" s="33">
        <f>G355</f>
        <v>384.7</v>
      </c>
      <c r="G351" s="34">
        <f>TRUNC(E351*F351,2)</f>
        <v>384.7</v>
      </c>
      <c r="H351" s="284"/>
    </row>
    <row r="352" spans="1:8" s="281" customFormat="1" ht="18.75">
      <c r="A352" s="60"/>
      <c r="B352" s="287" t="s">
        <v>692</v>
      </c>
      <c r="C352" s="31" t="s">
        <v>693</v>
      </c>
      <c r="D352" s="32" t="s">
        <v>11</v>
      </c>
      <c r="E352" s="62">
        <v>1</v>
      </c>
      <c r="F352" s="33">
        <v>103.4865</v>
      </c>
      <c r="G352" s="34">
        <f>E352*F352</f>
        <v>103.4865</v>
      </c>
      <c r="H352" s="284"/>
    </row>
    <row r="353" spans="1:8" s="281" customFormat="1" ht="18.75">
      <c r="A353" s="60"/>
      <c r="B353" s="287" t="s">
        <v>694</v>
      </c>
      <c r="C353" s="31" t="s">
        <v>695</v>
      </c>
      <c r="D353" s="32" t="s">
        <v>11</v>
      </c>
      <c r="E353" s="62">
        <v>1</v>
      </c>
      <c r="F353" s="33">
        <v>71.4626</v>
      </c>
      <c r="G353" s="34">
        <f>E353*F353</f>
        <v>71.4626</v>
      </c>
      <c r="H353" s="284"/>
    </row>
    <row r="354" spans="1:8" s="281" customFormat="1" ht="18.75">
      <c r="A354" s="60"/>
      <c r="B354" s="287" t="s">
        <v>121</v>
      </c>
      <c r="C354" s="31" t="s">
        <v>122</v>
      </c>
      <c r="D354" s="32" t="s">
        <v>11</v>
      </c>
      <c r="E354" s="62">
        <v>1</v>
      </c>
      <c r="F354" s="33">
        <v>209.7567</v>
      </c>
      <c r="G354" s="34">
        <f>E354*F354</f>
        <v>209.7567</v>
      </c>
      <c r="H354" s="284"/>
    </row>
    <row r="355" spans="1:8" s="281" customFormat="1" ht="18.75">
      <c r="A355" s="60"/>
      <c r="B355" s="287"/>
      <c r="C355" s="31"/>
      <c r="D355" s="32"/>
      <c r="E355" s="62" t="s">
        <v>6</v>
      </c>
      <c r="F355" s="33"/>
      <c r="G355" s="34">
        <f>TRUNC(SUM(G352:G354),2)</f>
        <v>384.7</v>
      </c>
      <c r="H355" s="284"/>
    </row>
    <row r="356" spans="1:8" ht="15.75">
      <c r="A356" s="40" t="s">
        <v>41</v>
      </c>
      <c r="B356" s="73"/>
      <c r="C356" s="41"/>
      <c r="D356" s="42"/>
      <c r="E356" s="377" t="s">
        <v>263</v>
      </c>
      <c r="F356" s="377"/>
      <c r="G356" s="43">
        <f>G306+G324+G331+G335+G344+G350</f>
        <v>2073.9700000000003</v>
      </c>
      <c r="H356" s="9"/>
    </row>
    <row r="357" spans="1:8" ht="15.75">
      <c r="A357" s="44" t="s">
        <v>104</v>
      </c>
      <c r="B357" s="44"/>
      <c r="C357" s="45" t="s">
        <v>85</v>
      </c>
      <c r="D357" s="149"/>
      <c r="E357" s="46"/>
      <c r="F357" s="47"/>
      <c r="G357" s="48"/>
      <c r="H357" s="9"/>
    </row>
    <row r="358" spans="1:8" ht="30">
      <c r="A358" s="65" t="s">
        <v>106</v>
      </c>
      <c r="B358" s="67" t="s">
        <v>523</v>
      </c>
      <c r="C358" s="66" t="s">
        <v>94</v>
      </c>
      <c r="D358" s="67" t="s">
        <v>9</v>
      </c>
      <c r="E358" s="68">
        <v>25</v>
      </c>
      <c r="F358" s="69">
        <f>TRUNC(F359,2)</f>
        <v>1120</v>
      </c>
      <c r="G358" s="70">
        <f>TRUNC((E358*F358),2)</f>
        <v>28000</v>
      </c>
      <c r="H358" s="9">
        <f>TRUNC((F358*1.2338),2)</f>
        <v>1381.85</v>
      </c>
    </row>
    <row r="359" spans="1:8" ht="30">
      <c r="A359" s="51" t="s">
        <v>64</v>
      </c>
      <c r="B359" s="52" t="s">
        <v>523</v>
      </c>
      <c r="C359" s="35" t="s">
        <v>94</v>
      </c>
      <c r="D359" s="36" t="s">
        <v>9</v>
      </c>
      <c r="E359" s="53">
        <v>1</v>
      </c>
      <c r="F359" s="37">
        <f>G361</f>
        <v>1120</v>
      </c>
      <c r="G359" s="38">
        <f>TRUNC(E359*F359,2)</f>
        <v>1120</v>
      </c>
      <c r="H359" s="9"/>
    </row>
    <row r="360" spans="1:8" ht="30">
      <c r="A360" s="60"/>
      <c r="B360" s="61" t="s">
        <v>524</v>
      </c>
      <c r="C360" s="31" t="s">
        <v>525</v>
      </c>
      <c r="D360" s="32" t="s">
        <v>9</v>
      </c>
      <c r="E360" s="62">
        <v>1</v>
      </c>
      <c r="F360" s="33">
        <v>1120</v>
      </c>
      <c r="G360" s="34">
        <f>TRUNC(E360*F360,2)</f>
        <v>1120</v>
      </c>
      <c r="H360" s="9"/>
    </row>
    <row r="361" spans="1:8" ht="15">
      <c r="A361" s="60"/>
      <c r="B361" s="61"/>
      <c r="C361" s="31"/>
      <c r="D361" s="32"/>
      <c r="E361" s="62" t="s">
        <v>6</v>
      </c>
      <c r="F361" s="33"/>
      <c r="G361" s="34">
        <f>TRUNC(SUM(G360:G360),2)</f>
        <v>1120</v>
      </c>
      <c r="H361" s="9"/>
    </row>
    <row r="362" spans="1:8" ht="30">
      <c r="A362" s="65" t="s">
        <v>107</v>
      </c>
      <c r="B362" s="208" t="s">
        <v>823</v>
      </c>
      <c r="C362" s="66" t="s">
        <v>95</v>
      </c>
      <c r="D362" s="67" t="s">
        <v>9</v>
      </c>
      <c r="E362" s="68">
        <v>25</v>
      </c>
      <c r="F362" s="69">
        <v>603.66</v>
      </c>
      <c r="G362" s="70">
        <f>TRUNC((E362*F362),2)</f>
        <v>15091.5</v>
      </c>
      <c r="H362" s="9">
        <f>TRUNC((F362*1.2338),2)</f>
        <v>744.79</v>
      </c>
    </row>
    <row r="363" spans="1:8" ht="60">
      <c r="A363" s="51" t="s">
        <v>526</v>
      </c>
      <c r="B363" s="209" t="s">
        <v>527</v>
      </c>
      <c r="C363" s="35" t="s">
        <v>528</v>
      </c>
      <c r="D363" s="36" t="s">
        <v>9</v>
      </c>
      <c r="E363" s="53">
        <v>1</v>
      </c>
      <c r="F363" s="210">
        <f>G365</f>
        <v>12.71</v>
      </c>
      <c r="G363" s="38">
        <f>TRUNC(E363*F363,2)</f>
        <v>12.71</v>
      </c>
      <c r="H363" s="9"/>
    </row>
    <row r="364" spans="1:8" ht="30">
      <c r="A364" s="60"/>
      <c r="B364" s="211" t="s">
        <v>529</v>
      </c>
      <c r="C364" s="31" t="s">
        <v>530</v>
      </c>
      <c r="D364" s="32" t="s">
        <v>3</v>
      </c>
      <c r="E364" s="62">
        <v>1.03</v>
      </c>
      <c r="F364" s="33">
        <v>12.34</v>
      </c>
      <c r="G364" s="34">
        <f>TRUNC(E364*F364,2)</f>
        <v>12.71</v>
      </c>
      <c r="H364" s="9"/>
    </row>
    <row r="365" spans="1:8" ht="15.75">
      <c r="A365" s="60"/>
      <c r="B365" s="211"/>
      <c r="C365" s="31"/>
      <c r="D365" s="32"/>
      <c r="E365" s="62" t="s">
        <v>6</v>
      </c>
      <c r="F365" s="57"/>
      <c r="G365" s="34">
        <f>TRUNC(SUM(G364:G364),2)</f>
        <v>12.71</v>
      </c>
      <c r="H365" s="9"/>
    </row>
    <row r="366" spans="1:8" ht="15.75">
      <c r="A366" s="60" t="s">
        <v>531</v>
      </c>
      <c r="B366" s="211"/>
      <c r="C366" s="31" t="s">
        <v>532</v>
      </c>
      <c r="D366" s="32" t="s">
        <v>9</v>
      </c>
      <c r="E366" s="62"/>
      <c r="F366" s="57">
        <f>E370</f>
        <v>599</v>
      </c>
      <c r="G366" s="34"/>
      <c r="H366" s="9"/>
    </row>
    <row r="367" spans="1:8" ht="15">
      <c r="A367" s="60"/>
      <c r="B367" s="211" t="s">
        <v>647</v>
      </c>
      <c r="C367" s="31" t="s">
        <v>533</v>
      </c>
      <c r="D367" s="32" t="s">
        <v>9</v>
      </c>
      <c r="E367" s="229">
        <f>749+(606.59/25)</f>
        <v>773.2636</v>
      </c>
      <c r="F367" s="33"/>
      <c r="G367" s="34"/>
      <c r="H367" s="9"/>
    </row>
    <row r="368" spans="1:8" ht="15">
      <c r="A368" s="60"/>
      <c r="B368" s="211" t="s">
        <v>651</v>
      </c>
      <c r="C368" s="31" t="s">
        <v>533</v>
      </c>
      <c r="D368" s="32" t="s">
        <v>9</v>
      </c>
      <c r="E368" s="227">
        <v>464.3</v>
      </c>
      <c r="F368" s="33"/>
      <c r="G368" s="34"/>
      <c r="H368" s="9"/>
    </row>
    <row r="369" spans="1:8" ht="15">
      <c r="A369" s="60"/>
      <c r="B369" s="211" t="s">
        <v>654</v>
      </c>
      <c r="C369" s="31" t="s">
        <v>533</v>
      </c>
      <c r="D369" s="32" t="s">
        <v>9</v>
      </c>
      <c r="E369" s="227">
        <v>599</v>
      </c>
      <c r="F369" s="33"/>
      <c r="G369" s="34"/>
      <c r="H369" s="9"/>
    </row>
    <row r="370" spans="1:8" ht="15.75">
      <c r="A370" s="81"/>
      <c r="B370" s="212"/>
      <c r="C370" s="213" t="s">
        <v>534</v>
      </c>
      <c r="D370" s="56" t="s">
        <v>9</v>
      </c>
      <c r="E370" s="214">
        <f>MEDIAN(E367:E369)</f>
        <v>599</v>
      </c>
      <c r="F370" s="82"/>
      <c r="G370" s="83"/>
      <c r="H370" s="9"/>
    </row>
    <row r="371" spans="1:8" ht="30">
      <c r="A371" s="65" t="s">
        <v>108</v>
      </c>
      <c r="B371" s="67" t="s">
        <v>535</v>
      </c>
      <c r="C371" s="66" t="s">
        <v>96</v>
      </c>
      <c r="D371" s="28" t="s">
        <v>9</v>
      </c>
      <c r="E371" s="68">
        <v>11</v>
      </c>
      <c r="F371" s="69">
        <f>TRUNC(F372,2)</f>
        <v>1980</v>
      </c>
      <c r="G371" s="70">
        <f>TRUNC((E371*F371),2)</f>
        <v>21780</v>
      </c>
      <c r="H371" s="9">
        <f>TRUNC((F371*1.2338),2)</f>
        <v>2442.92</v>
      </c>
    </row>
    <row r="372" spans="1:8" ht="30">
      <c r="A372" s="51" t="s">
        <v>64</v>
      </c>
      <c r="B372" s="52" t="s">
        <v>535</v>
      </c>
      <c r="C372" s="35" t="s">
        <v>96</v>
      </c>
      <c r="D372" s="36" t="s">
        <v>9</v>
      </c>
      <c r="E372" s="53">
        <v>1</v>
      </c>
      <c r="F372" s="37">
        <f>G374</f>
        <v>1980</v>
      </c>
      <c r="G372" s="38">
        <f>TRUNC(E372*F372,2)</f>
        <v>1980</v>
      </c>
      <c r="H372" s="9"/>
    </row>
    <row r="373" spans="1:8" ht="15">
      <c r="A373" s="60"/>
      <c r="B373" s="61" t="s">
        <v>536</v>
      </c>
      <c r="C373" s="31" t="s">
        <v>537</v>
      </c>
      <c r="D373" s="32" t="s">
        <v>9</v>
      </c>
      <c r="E373" s="62">
        <v>1</v>
      </c>
      <c r="F373" s="33">
        <v>1980</v>
      </c>
      <c r="G373" s="34">
        <f>TRUNC(E373*F373,2)</f>
        <v>1980</v>
      </c>
      <c r="H373" s="9"/>
    </row>
    <row r="374" spans="1:8" ht="15.75">
      <c r="A374" s="60"/>
      <c r="B374" s="61"/>
      <c r="C374" s="31"/>
      <c r="D374" s="32"/>
      <c r="E374" s="62" t="s">
        <v>6</v>
      </c>
      <c r="F374" s="57"/>
      <c r="G374" s="34">
        <f>TRUNC(SUM(G373:G373),2)</f>
        <v>1980</v>
      </c>
      <c r="H374" s="9"/>
    </row>
    <row r="375" spans="1:8" ht="30">
      <c r="A375" s="63" t="s">
        <v>169</v>
      </c>
      <c r="B375" s="84" t="s">
        <v>824</v>
      </c>
      <c r="C375" s="27" t="s">
        <v>97</v>
      </c>
      <c r="D375" s="28" t="s">
        <v>9</v>
      </c>
      <c r="E375" s="64">
        <v>11</v>
      </c>
      <c r="F375" s="29">
        <v>707.41</v>
      </c>
      <c r="G375" s="30">
        <f>TRUNC((E375*F375),2)</f>
        <v>7781.51</v>
      </c>
      <c r="H375" s="9">
        <f>TRUNC((F375*1.2338),2)</f>
        <v>872.8</v>
      </c>
    </row>
    <row r="376" spans="1:8" ht="60">
      <c r="A376" s="51" t="s">
        <v>526</v>
      </c>
      <c r="B376" s="209" t="s">
        <v>538</v>
      </c>
      <c r="C376" s="35" t="s">
        <v>539</v>
      </c>
      <c r="D376" s="36" t="s">
        <v>9</v>
      </c>
      <c r="E376" s="53">
        <v>1</v>
      </c>
      <c r="F376" s="210">
        <f>G378</f>
        <v>25.42</v>
      </c>
      <c r="G376" s="38">
        <f>TRUNC(E376*F376,2)</f>
        <v>25.42</v>
      </c>
      <c r="H376" s="9"/>
    </row>
    <row r="377" spans="1:8" ht="30">
      <c r="A377" s="60"/>
      <c r="B377" s="211" t="s">
        <v>529</v>
      </c>
      <c r="C377" s="31" t="s">
        <v>530</v>
      </c>
      <c r="D377" s="32" t="s">
        <v>3</v>
      </c>
      <c r="E377" s="62">
        <v>2.06</v>
      </c>
      <c r="F377" s="33">
        <v>12.34</v>
      </c>
      <c r="G377" s="34">
        <f>TRUNC(E377*F377,2)</f>
        <v>25.42</v>
      </c>
      <c r="H377" s="9"/>
    </row>
    <row r="378" spans="1:8" ht="15.75">
      <c r="A378" s="60"/>
      <c r="B378" s="211"/>
      <c r="C378" s="31"/>
      <c r="D378" s="32"/>
      <c r="E378" s="62" t="s">
        <v>6</v>
      </c>
      <c r="F378" s="57"/>
      <c r="G378" s="34">
        <f>TRUNC(SUM(G377:G377),2)</f>
        <v>25.42</v>
      </c>
      <c r="H378" s="9"/>
    </row>
    <row r="379" spans="1:8" ht="15.75">
      <c r="A379" s="60" t="s">
        <v>531</v>
      </c>
      <c r="B379" s="211"/>
      <c r="C379" s="31" t="s">
        <v>540</v>
      </c>
      <c r="D379" s="32" t="s">
        <v>9</v>
      </c>
      <c r="E379" s="62"/>
      <c r="F379" s="57">
        <f>E383</f>
        <v>642.08</v>
      </c>
      <c r="G379" s="34"/>
      <c r="H379" s="9"/>
    </row>
    <row r="380" spans="1:8" ht="15">
      <c r="A380" s="60"/>
      <c r="B380" s="211" t="s">
        <v>647</v>
      </c>
      <c r="C380" s="31" t="s">
        <v>541</v>
      </c>
      <c r="D380" s="32" t="s">
        <v>9</v>
      </c>
      <c r="E380" s="62">
        <f>749+(141.05/4)</f>
        <v>784.2625</v>
      </c>
      <c r="F380" s="33"/>
      <c r="G380" s="34"/>
      <c r="H380" s="9"/>
    </row>
    <row r="381" spans="1:8" ht="15">
      <c r="A381" s="60"/>
      <c r="B381" s="211" t="s">
        <v>651</v>
      </c>
      <c r="C381" s="31" t="s">
        <v>541</v>
      </c>
      <c r="D381" s="32" t="s">
        <v>9</v>
      </c>
      <c r="E381" s="227">
        <v>642.08</v>
      </c>
      <c r="F381" s="33"/>
      <c r="G381" s="34"/>
      <c r="H381" s="9"/>
    </row>
    <row r="382" spans="1:8" ht="15">
      <c r="A382" s="60"/>
      <c r="B382" s="211" t="s">
        <v>654</v>
      </c>
      <c r="C382" s="31" t="s">
        <v>541</v>
      </c>
      <c r="D382" s="32" t="s">
        <v>9</v>
      </c>
      <c r="E382" s="227">
        <v>599</v>
      </c>
      <c r="F382" s="33"/>
      <c r="G382" s="34"/>
      <c r="H382" s="9"/>
    </row>
    <row r="383" spans="1:8" ht="15.75">
      <c r="A383" s="81"/>
      <c r="B383" s="212"/>
      <c r="C383" s="213" t="s">
        <v>534</v>
      </c>
      <c r="D383" s="56" t="s">
        <v>9</v>
      </c>
      <c r="E383" s="214">
        <f>MEDIAN(E380:E382)</f>
        <v>642.08</v>
      </c>
      <c r="F383" s="82"/>
      <c r="G383" s="83"/>
      <c r="H383" s="9"/>
    </row>
    <row r="384" spans="1:8" ht="30">
      <c r="A384" s="65" t="s">
        <v>170</v>
      </c>
      <c r="B384" s="67" t="s">
        <v>773</v>
      </c>
      <c r="C384" s="66" t="s">
        <v>232</v>
      </c>
      <c r="D384" s="28" t="s">
        <v>9</v>
      </c>
      <c r="E384" s="68">
        <v>36</v>
      </c>
      <c r="F384" s="69">
        <v>184.46</v>
      </c>
      <c r="G384" s="70">
        <f>TRUNC((E384*F384),2)</f>
        <v>6640.56</v>
      </c>
      <c r="H384" s="9">
        <f>TRUNC((F384*1.2338),2)</f>
        <v>227.58</v>
      </c>
    </row>
    <row r="385" spans="1:8" ht="15">
      <c r="A385" s="51" t="s">
        <v>64</v>
      </c>
      <c r="B385" s="209" t="s">
        <v>773</v>
      </c>
      <c r="C385" s="35" t="s">
        <v>542</v>
      </c>
      <c r="D385" s="36" t="s">
        <v>9</v>
      </c>
      <c r="E385" s="53">
        <v>1</v>
      </c>
      <c r="F385" s="37">
        <f>G396</f>
        <v>183.77</v>
      </c>
      <c r="G385" s="38">
        <f aca="true" t="shared" si="18" ref="G385:G395">TRUNC(E385*F385,2)</f>
        <v>183.77</v>
      </c>
      <c r="H385" s="9"/>
    </row>
    <row r="386" spans="1:8" ht="15">
      <c r="A386" s="60"/>
      <c r="B386" s="211" t="s">
        <v>774</v>
      </c>
      <c r="C386" s="31" t="s">
        <v>543</v>
      </c>
      <c r="D386" s="32" t="s">
        <v>9</v>
      </c>
      <c r="E386" s="62">
        <v>60.48</v>
      </c>
      <c r="F386" s="33">
        <v>0.25</v>
      </c>
      <c r="G386" s="34">
        <f t="shared" si="18"/>
        <v>15.12</v>
      </c>
      <c r="H386" s="9"/>
    </row>
    <row r="387" spans="1:8" ht="30">
      <c r="A387" s="60"/>
      <c r="B387" s="211" t="s">
        <v>775</v>
      </c>
      <c r="C387" s="31" t="s">
        <v>544</v>
      </c>
      <c r="D387" s="32" t="s">
        <v>11</v>
      </c>
      <c r="E387" s="62">
        <v>0.004</v>
      </c>
      <c r="F387" s="33">
        <v>62.5</v>
      </c>
      <c r="G387" s="34">
        <f t="shared" si="18"/>
        <v>0.25</v>
      </c>
      <c r="H387" s="9"/>
    </row>
    <row r="388" spans="1:8" ht="30">
      <c r="A388" s="60"/>
      <c r="B388" s="211" t="s">
        <v>182</v>
      </c>
      <c r="C388" s="31" t="s">
        <v>99</v>
      </c>
      <c r="D388" s="32" t="s">
        <v>11</v>
      </c>
      <c r="E388" s="62">
        <v>0.0365</v>
      </c>
      <c r="F388" s="33">
        <v>62.5</v>
      </c>
      <c r="G388" s="34">
        <f t="shared" si="18"/>
        <v>2.28</v>
      </c>
      <c r="H388" s="9"/>
    </row>
    <row r="389" spans="1:8" ht="15">
      <c r="A389" s="60"/>
      <c r="B389" s="211" t="s">
        <v>175</v>
      </c>
      <c r="C389" s="31" t="s">
        <v>100</v>
      </c>
      <c r="D389" s="32" t="s">
        <v>17</v>
      </c>
      <c r="E389" s="62">
        <v>18.5084</v>
      </c>
      <c r="F389" s="33">
        <v>0.41</v>
      </c>
      <c r="G389" s="34">
        <f t="shared" si="18"/>
        <v>7.58</v>
      </c>
      <c r="H389" s="9"/>
    </row>
    <row r="390" spans="1:8" ht="30">
      <c r="A390" s="60"/>
      <c r="B390" s="211" t="s">
        <v>776</v>
      </c>
      <c r="C390" s="31" t="s">
        <v>545</v>
      </c>
      <c r="D390" s="32" t="s">
        <v>0</v>
      </c>
      <c r="E390" s="62">
        <v>0.06</v>
      </c>
      <c r="F390" s="33">
        <v>31.57</v>
      </c>
      <c r="G390" s="34">
        <f t="shared" si="18"/>
        <v>1.89</v>
      </c>
      <c r="H390" s="9"/>
    </row>
    <row r="391" spans="1:8" ht="15">
      <c r="A391" s="60"/>
      <c r="B391" s="211" t="s">
        <v>777</v>
      </c>
      <c r="C391" s="31" t="s">
        <v>546</v>
      </c>
      <c r="D391" s="32" t="s">
        <v>17</v>
      </c>
      <c r="E391" s="62">
        <v>3.0096</v>
      </c>
      <c r="F391" s="33">
        <v>0.76</v>
      </c>
      <c r="G391" s="34">
        <f t="shared" si="18"/>
        <v>2.28</v>
      </c>
      <c r="H391" s="9"/>
    </row>
    <row r="392" spans="1:8" ht="30">
      <c r="A392" s="60"/>
      <c r="B392" s="211" t="s">
        <v>22</v>
      </c>
      <c r="C392" s="31" t="s">
        <v>23</v>
      </c>
      <c r="D392" s="32" t="s">
        <v>11</v>
      </c>
      <c r="E392" s="62">
        <v>0.0653</v>
      </c>
      <c r="F392" s="33">
        <v>51.43</v>
      </c>
      <c r="G392" s="34">
        <f t="shared" si="18"/>
        <v>3.35</v>
      </c>
      <c r="H392" s="9"/>
    </row>
    <row r="393" spans="1:8" ht="15">
      <c r="A393" s="60"/>
      <c r="B393" s="211" t="s">
        <v>778</v>
      </c>
      <c r="C393" s="31" t="s">
        <v>101</v>
      </c>
      <c r="D393" s="32" t="s">
        <v>17</v>
      </c>
      <c r="E393" s="62">
        <v>2.156</v>
      </c>
      <c r="F393" s="33">
        <v>4.9</v>
      </c>
      <c r="G393" s="34">
        <f t="shared" si="18"/>
        <v>10.56</v>
      </c>
      <c r="H393" s="9"/>
    </row>
    <row r="394" spans="1:8" ht="15">
      <c r="A394" s="60"/>
      <c r="B394" s="211" t="s">
        <v>1</v>
      </c>
      <c r="C394" s="31" t="s">
        <v>2</v>
      </c>
      <c r="D394" s="32" t="s">
        <v>3</v>
      </c>
      <c r="E394" s="62">
        <v>4.4832</v>
      </c>
      <c r="F394" s="33">
        <f>TRUNC(21.24,2)</f>
        <v>21.24</v>
      </c>
      <c r="G394" s="34">
        <f t="shared" si="18"/>
        <v>95.22</v>
      </c>
      <c r="H394" s="9"/>
    </row>
    <row r="395" spans="1:8" ht="15">
      <c r="A395" s="60"/>
      <c r="B395" s="211" t="s">
        <v>166</v>
      </c>
      <c r="C395" s="31" t="s">
        <v>53</v>
      </c>
      <c r="D395" s="32" t="s">
        <v>3</v>
      </c>
      <c r="E395" s="62">
        <v>1.6789</v>
      </c>
      <c r="F395" s="33">
        <f>TRUNC(26.95,2)</f>
        <v>26.95</v>
      </c>
      <c r="G395" s="34">
        <f t="shared" si="18"/>
        <v>45.24</v>
      </c>
      <c r="H395" s="9"/>
    </row>
    <row r="396" spans="1:8" ht="15">
      <c r="A396" s="60"/>
      <c r="B396" s="211"/>
      <c r="C396" s="31"/>
      <c r="D396" s="32"/>
      <c r="E396" s="62" t="s">
        <v>6</v>
      </c>
      <c r="F396" s="33"/>
      <c r="G396" s="34">
        <f>TRUNC(SUM(G386:G395),2)</f>
        <v>183.77</v>
      </c>
      <c r="H396" s="9"/>
    </row>
    <row r="397" spans="1:9" ht="30">
      <c r="A397" s="63" t="s">
        <v>171</v>
      </c>
      <c r="B397" s="28" t="s">
        <v>180</v>
      </c>
      <c r="C397" s="27" t="s">
        <v>272</v>
      </c>
      <c r="D397" s="28" t="s">
        <v>11</v>
      </c>
      <c r="E397" s="64">
        <v>3.43</v>
      </c>
      <c r="F397" s="29">
        <v>67.25</v>
      </c>
      <c r="G397" s="30">
        <f>TRUNC((E397*F397),2)</f>
        <v>230.66</v>
      </c>
      <c r="H397" s="9">
        <f>TRUNC((F397*1.2338),2)</f>
        <v>82.97</v>
      </c>
      <c r="I397" s="1" t="s">
        <v>471</v>
      </c>
    </row>
    <row r="398" spans="1:8" ht="30">
      <c r="A398" s="60"/>
      <c r="B398" s="61" t="s">
        <v>180</v>
      </c>
      <c r="C398" s="31" t="s">
        <v>547</v>
      </c>
      <c r="D398" s="32" t="s">
        <v>11</v>
      </c>
      <c r="E398" s="62">
        <v>1</v>
      </c>
      <c r="F398" s="33">
        <f>G400</f>
        <v>84.02</v>
      </c>
      <c r="G398" s="34">
        <f>TRUNC(E398*F398,2)</f>
        <v>84.02</v>
      </c>
      <c r="H398" s="9"/>
    </row>
    <row r="399" spans="1:8" ht="15">
      <c r="A399" s="60"/>
      <c r="B399" s="61" t="s">
        <v>1</v>
      </c>
      <c r="C399" s="31" t="s">
        <v>2</v>
      </c>
      <c r="D399" s="32" t="s">
        <v>3</v>
      </c>
      <c r="E399" s="62">
        <v>3.956</v>
      </c>
      <c r="F399" s="33">
        <f>TRUNC(21.24,2)</f>
        <v>21.24</v>
      </c>
      <c r="G399" s="34">
        <f>TRUNC(E399*F399,2)</f>
        <v>84.02</v>
      </c>
      <c r="H399" s="9"/>
    </row>
    <row r="400" spans="1:8" ht="15">
      <c r="A400" s="60"/>
      <c r="B400" s="61"/>
      <c r="C400" s="31"/>
      <c r="D400" s="32"/>
      <c r="E400" s="62" t="s">
        <v>6</v>
      </c>
      <c r="F400" s="33"/>
      <c r="G400" s="34">
        <f>TRUNC(SUM(G399:G399),2)</f>
        <v>84.02</v>
      </c>
      <c r="H400" s="9"/>
    </row>
    <row r="401" spans="1:8" ht="60">
      <c r="A401" s="60"/>
      <c r="B401" s="61" t="s">
        <v>346</v>
      </c>
      <c r="C401" s="31" t="s">
        <v>347</v>
      </c>
      <c r="D401" s="32" t="s">
        <v>11</v>
      </c>
      <c r="E401" s="62">
        <v>1</v>
      </c>
      <c r="F401" s="33">
        <f>TRUNC(50.67394,2)</f>
        <v>50.67</v>
      </c>
      <c r="G401" s="34">
        <f>TRUNC(E401*F401,2)</f>
        <v>50.67</v>
      </c>
      <c r="H401" s="9"/>
    </row>
    <row r="402" spans="1:8" ht="30">
      <c r="A402" s="60"/>
      <c r="B402" s="61" t="s">
        <v>7</v>
      </c>
      <c r="C402" s="31" t="s">
        <v>8</v>
      </c>
      <c r="D402" s="32" t="s">
        <v>3</v>
      </c>
      <c r="E402" s="62">
        <v>3.502</v>
      </c>
      <c r="F402" s="33">
        <v>14.47</v>
      </c>
      <c r="G402" s="34">
        <f>TRUNC(E402*F402,2)</f>
        <v>50.67</v>
      </c>
      <c r="H402" s="9"/>
    </row>
    <row r="403" spans="1:8" ht="15">
      <c r="A403" s="60"/>
      <c r="B403" s="61"/>
      <c r="C403" s="31"/>
      <c r="D403" s="32"/>
      <c r="E403" s="62" t="s">
        <v>6</v>
      </c>
      <c r="F403" s="33"/>
      <c r="G403" s="34">
        <f>TRUNC(SUM(G402:G402),2)</f>
        <v>50.67</v>
      </c>
      <c r="H403" s="9"/>
    </row>
    <row r="404" spans="1:8" ht="45">
      <c r="A404" s="63" t="s">
        <v>172</v>
      </c>
      <c r="B404" s="28">
        <v>94964</v>
      </c>
      <c r="C404" s="27" t="s">
        <v>264</v>
      </c>
      <c r="D404" s="28" t="s">
        <v>11</v>
      </c>
      <c r="E404" s="64">
        <v>3.43</v>
      </c>
      <c r="F404" s="29">
        <v>295.01</v>
      </c>
      <c r="G404" s="30">
        <f>TRUNC((E404*F404),2)</f>
        <v>1011.88</v>
      </c>
      <c r="H404" s="9">
        <f>TRUNC((F404*1.2338),2)</f>
        <v>363.98</v>
      </c>
    </row>
    <row r="405" spans="1:8" ht="30">
      <c r="A405" s="60" t="s">
        <v>64</v>
      </c>
      <c r="B405" s="61" t="s">
        <v>548</v>
      </c>
      <c r="C405" s="31" t="s">
        <v>549</v>
      </c>
      <c r="D405" s="32" t="s">
        <v>11</v>
      </c>
      <c r="E405" s="62">
        <v>1</v>
      </c>
      <c r="F405" s="33">
        <f>G413</f>
        <v>300.17</v>
      </c>
      <c r="G405" s="34">
        <f aca="true" t="shared" si="19" ref="G405:G412">TRUNC(E405*F405,2)</f>
        <v>300.17</v>
      </c>
      <c r="H405" s="9"/>
    </row>
    <row r="406" spans="1:8" ht="30">
      <c r="A406" s="60"/>
      <c r="B406" s="61" t="s">
        <v>182</v>
      </c>
      <c r="C406" s="31" t="s">
        <v>99</v>
      </c>
      <c r="D406" s="32" t="s">
        <v>11</v>
      </c>
      <c r="E406" s="62">
        <v>0.587</v>
      </c>
      <c r="F406" s="33">
        <v>62.5</v>
      </c>
      <c r="G406" s="34">
        <f t="shared" si="19"/>
        <v>36.68</v>
      </c>
      <c r="H406" s="9"/>
    </row>
    <row r="407" spans="1:8" ht="15">
      <c r="A407" s="60"/>
      <c r="B407" s="61" t="s">
        <v>175</v>
      </c>
      <c r="C407" s="31" t="s">
        <v>100</v>
      </c>
      <c r="D407" s="32" t="s">
        <v>17</v>
      </c>
      <c r="E407" s="62">
        <v>322.98</v>
      </c>
      <c r="F407" s="33">
        <v>0.41</v>
      </c>
      <c r="G407" s="34">
        <f t="shared" si="19"/>
        <v>132.42</v>
      </c>
      <c r="H407" s="9"/>
    </row>
    <row r="408" spans="1:8" ht="30">
      <c r="A408" s="60"/>
      <c r="B408" s="61" t="s">
        <v>22</v>
      </c>
      <c r="C408" s="31" t="s">
        <v>23</v>
      </c>
      <c r="D408" s="32" t="s">
        <v>11</v>
      </c>
      <c r="E408" s="62">
        <v>0.785</v>
      </c>
      <c r="F408" s="33">
        <v>51.43</v>
      </c>
      <c r="G408" s="34">
        <f t="shared" si="19"/>
        <v>40.37</v>
      </c>
      <c r="H408" s="9"/>
    </row>
    <row r="409" spans="1:8" ht="30">
      <c r="A409" s="60"/>
      <c r="B409" s="61" t="s">
        <v>183</v>
      </c>
      <c r="C409" s="31" t="s">
        <v>184</v>
      </c>
      <c r="D409" s="32" t="s">
        <v>3</v>
      </c>
      <c r="E409" s="62">
        <v>1.6</v>
      </c>
      <c r="F409" s="33">
        <f>TRUNC(22.2,2)</f>
        <v>22.2</v>
      </c>
      <c r="G409" s="34">
        <f t="shared" si="19"/>
        <v>35.52</v>
      </c>
      <c r="H409" s="9"/>
    </row>
    <row r="410" spans="1:8" ht="15">
      <c r="A410" s="60"/>
      <c r="B410" s="61" t="s">
        <v>1</v>
      </c>
      <c r="C410" s="31" t="s">
        <v>2</v>
      </c>
      <c r="D410" s="32" t="s">
        <v>3</v>
      </c>
      <c r="E410" s="62">
        <v>2.53</v>
      </c>
      <c r="F410" s="33">
        <f>TRUNC(21.24,2)</f>
        <v>21.24</v>
      </c>
      <c r="G410" s="34">
        <f t="shared" si="19"/>
        <v>53.73</v>
      </c>
      <c r="H410" s="9"/>
    </row>
    <row r="411" spans="1:8" ht="45">
      <c r="A411" s="60"/>
      <c r="B411" s="61" t="s">
        <v>185</v>
      </c>
      <c r="C411" s="31" t="s">
        <v>794</v>
      </c>
      <c r="D411" s="32" t="s">
        <v>4</v>
      </c>
      <c r="E411" s="62">
        <v>0.78</v>
      </c>
      <c r="F411" s="33">
        <f>TRUNC(0.31,2)</f>
        <v>0.31</v>
      </c>
      <c r="G411" s="34">
        <f t="shared" si="19"/>
        <v>0.24</v>
      </c>
      <c r="H411" s="9"/>
    </row>
    <row r="412" spans="1:8" ht="45">
      <c r="A412" s="60"/>
      <c r="B412" s="61" t="s">
        <v>186</v>
      </c>
      <c r="C412" s="31" t="s">
        <v>795</v>
      </c>
      <c r="D412" s="32" t="s">
        <v>5</v>
      </c>
      <c r="E412" s="62">
        <v>0.83</v>
      </c>
      <c r="F412" s="33">
        <f>TRUNC(1.46,2)</f>
        <v>1.46</v>
      </c>
      <c r="G412" s="34">
        <f t="shared" si="19"/>
        <v>1.21</v>
      </c>
      <c r="H412" s="9"/>
    </row>
    <row r="413" spans="1:8" ht="15">
      <c r="A413" s="60"/>
      <c r="B413" s="61"/>
      <c r="C413" s="31"/>
      <c r="D413" s="32"/>
      <c r="E413" s="62" t="s">
        <v>6</v>
      </c>
      <c r="F413" s="33"/>
      <c r="G413" s="34">
        <f>TRUNC(SUM(G406:G412),2)</f>
        <v>300.17</v>
      </c>
      <c r="H413" s="9"/>
    </row>
    <row r="414" spans="1:8" ht="30">
      <c r="A414" s="63" t="s">
        <v>173</v>
      </c>
      <c r="B414" s="28" t="s">
        <v>265</v>
      </c>
      <c r="C414" s="27" t="s">
        <v>266</v>
      </c>
      <c r="D414" s="28" t="s">
        <v>11</v>
      </c>
      <c r="E414" s="64">
        <v>3.43</v>
      </c>
      <c r="F414" s="29">
        <v>141.28</v>
      </c>
      <c r="G414" s="30">
        <f>TRUNC((E414*F414),2)</f>
        <v>484.59</v>
      </c>
      <c r="H414" s="9">
        <f>TRUNC((F414*1.2338),2)</f>
        <v>174.31</v>
      </c>
    </row>
    <row r="415" spans="1:8" ht="15">
      <c r="A415" s="60" t="s">
        <v>64</v>
      </c>
      <c r="B415" s="61" t="s">
        <v>779</v>
      </c>
      <c r="C415" s="31" t="s">
        <v>181</v>
      </c>
      <c r="D415" s="32" t="s">
        <v>11</v>
      </c>
      <c r="E415" s="62">
        <v>1</v>
      </c>
      <c r="F415" s="33">
        <f>G419</f>
        <v>140.45</v>
      </c>
      <c r="G415" s="34">
        <f>TRUNC(E415*F415,2)</f>
        <v>140.45</v>
      </c>
      <c r="H415" s="9"/>
    </row>
    <row r="416" spans="1:8" ht="15">
      <c r="A416" s="60"/>
      <c r="B416" s="61" t="s">
        <v>1</v>
      </c>
      <c r="C416" s="31" t="s">
        <v>2</v>
      </c>
      <c r="D416" s="32" t="s">
        <v>3</v>
      </c>
      <c r="E416" s="62">
        <v>4.5</v>
      </c>
      <c r="F416" s="33">
        <f>TRUNC(21.24,2)</f>
        <v>21.24</v>
      </c>
      <c r="G416" s="34">
        <f>TRUNC(E416*F416,2)</f>
        <v>95.58</v>
      </c>
      <c r="H416" s="9"/>
    </row>
    <row r="417" spans="1:8" ht="15">
      <c r="A417" s="60"/>
      <c r="B417" s="61" t="s">
        <v>166</v>
      </c>
      <c r="C417" s="31" t="s">
        <v>53</v>
      </c>
      <c r="D417" s="32" t="s">
        <v>3</v>
      </c>
      <c r="E417" s="62">
        <v>1.65</v>
      </c>
      <c r="F417" s="33">
        <f>TRUNC(26.95,2)</f>
        <v>26.95</v>
      </c>
      <c r="G417" s="34">
        <f>TRUNC(E417*F417,2)</f>
        <v>44.46</v>
      </c>
      <c r="H417" s="9"/>
    </row>
    <row r="418" spans="1:8" ht="30">
      <c r="A418" s="60"/>
      <c r="B418" s="61" t="s">
        <v>780</v>
      </c>
      <c r="C418" s="31" t="s">
        <v>796</v>
      </c>
      <c r="D418" s="32" t="s">
        <v>5</v>
      </c>
      <c r="E418" s="62">
        <v>0.3</v>
      </c>
      <c r="F418" s="33">
        <f>TRUNC(1.39,2)</f>
        <v>1.39</v>
      </c>
      <c r="G418" s="34">
        <f>TRUNC(E418*F418,2)</f>
        <v>0.41</v>
      </c>
      <c r="H418" s="9"/>
    </row>
    <row r="419" spans="1:8" ht="15">
      <c r="A419" s="60"/>
      <c r="B419" s="61"/>
      <c r="C419" s="31"/>
      <c r="D419" s="32"/>
      <c r="E419" s="62" t="s">
        <v>6</v>
      </c>
      <c r="F419" s="33"/>
      <c r="G419" s="34">
        <f>TRUNC(SUM(G416:G418),2)</f>
        <v>140.45</v>
      </c>
      <c r="H419" s="9"/>
    </row>
    <row r="420" spans="1:8" ht="30">
      <c r="A420" s="63" t="s">
        <v>174</v>
      </c>
      <c r="B420" s="28" t="s">
        <v>187</v>
      </c>
      <c r="C420" s="27" t="s">
        <v>102</v>
      </c>
      <c r="D420" s="28" t="s">
        <v>103</v>
      </c>
      <c r="E420" s="64">
        <v>36</v>
      </c>
      <c r="F420" s="29">
        <f>TRUNC(F421,2)</f>
        <v>58.91</v>
      </c>
      <c r="G420" s="30">
        <f>TRUNC((E420*F420),2)</f>
        <v>2120.76</v>
      </c>
      <c r="H420" s="9">
        <f>TRUNC((F420*1.2338),2)</f>
        <v>72.68</v>
      </c>
    </row>
    <row r="421" spans="1:8" ht="90">
      <c r="A421" s="60" t="s">
        <v>41</v>
      </c>
      <c r="B421" s="61" t="s">
        <v>187</v>
      </c>
      <c r="C421" s="31" t="s">
        <v>550</v>
      </c>
      <c r="D421" s="32" t="s">
        <v>9</v>
      </c>
      <c r="E421" s="62">
        <v>1</v>
      </c>
      <c r="F421" s="33">
        <f>TRUNC(58.91,2)</f>
        <v>58.91</v>
      </c>
      <c r="G421" s="34">
        <f>TRUNC(E421*F421,2)</f>
        <v>58.91</v>
      </c>
      <c r="H421" s="9"/>
    </row>
    <row r="422" spans="1:8" ht="30">
      <c r="A422" s="60"/>
      <c r="B422" s="61" t="s">
        <v>551</v>
      </c>
      <c r="C422" s="31" t="s">
        <v>552</v>
      </c>
      <c r="D422" s="32" t="s">
        <v>9</v>
      </c>
      <c r="E422" s="62">
        <v>1</v>
      </c>
      <c r="F422" s="33">
        <v>58.91</v>
      </c>
      <c r="G422" s="34">
        <f>TRUNC(E422*F422,2)</f>
        <v>58.91</v>
      </c>
      <c r="H422" s="9"/>
    </row>
    <row r="423" spans="1:8" ht="15">
      <c r="A423" s="60"/>
      <c r="B423" s="61"/>
      <c r="C423" s="31"/>
      <c r="D423" s="32"/>
      <c r="E423" s="62" t="s">
        <v>6</v>
      </c>
      <c r="F423" s="33"/>
      <c r="G423" s="34">
        <f>TRUNC(SUM(G422:G422),2)</f>
        <v>58.91</v>
      </c>
      <c r="H423" s="9"/>
    </row>
    <row r="424" spans="1:8" ht="45">
      <c r="A424" s="63" t="s">
        <v>287</v>
      </c>
      <c r="B424" s="28" t="s">
        <v>188</v>
      </c>
      <c r="C424" s="27" t="s">
        <v>189</v>
      </c>
      <c r="D424" s="28" t="s">
        <v>9</v>
      </c>
      <c r="E424" s="64">
        <v>1</v>
      </c>
      <c r="F424" s="29">
        <v>216.71</v>
      </c>
      <c r="G424" s="30">
        <f>TRUNC((E424*F424),2)</f>
        <v>216.71</v>
      </c>
      <c r="H424" s="9">
        <f>TRUNC((F424*1.2338),2)</f>
        <v>267.37</v>
      </c>
    </row>
    <row r="425" spans="1:8" ht="45">
      <c r="A425" s="60" t="s">
        <v>41</v>
      </c>
      <c r="B425" s="61" t="s">
        <v>188</v>
      </c>
      <c r="C425" s="31" t="s">
        <v>189</v>
      </c>
      <c r="D425" s="32" t="s">
        <v>9</v>
      </c>
      <c r="E425" s="72">
        <v>1</v>
      </c>
      <c r="F425" s="33">
        <f>G429</f>
        <v>242.06</v>
      </c>
      <c r="G425" s="34">
        <f>TRUNC(E425*F425,2)</f>
        <v>242.06</v>
      </c>
      <c r="H425" s="9"/>
    </row>
    <row r="426" spans="1:8" ht="30">
      <c r="A426" s="60"/>
      <c r="B426" s="61" t="s">
        <v>190</v>
      </c>
      <c r="C426" s="31" t="s">
        <v>191</v>
      </c>
      <c r="D426" s="32" t="s">
        <v>9</v>
      </c>
      <c r="E426" s="72">
        <v>1</v>
      </c>
      <c r="F426" s="33">
        <v>146.18</v>
      </c>
      <c r="G426" s="34">
        <f>TRUNC(E426*F426,2)</f>
        <v>146.18</v>
      </c>
      <c r="H426" s="9"/>
    </row>
    <row r="427" spans="1:8" ht="15">
      <c r="A427" s="60"/>
      <c r="B427" s="61" t="s">
        <v>134</v>
      </c>
      <c r="C427" s="31" t="s">
        <v>93</v>
      </c>
      <c r="D427" s="32" t="s">
        <v>3</v>
      </c>
      <c r="E427" s="72">
        <v>2</v>
      </c>
      <c r="F427" s="33">
        <f>TRUNC(26.96,2)</f>
        <v>26.96</v>
      </c>
      <c r="G427" s="34">
        <f>TRUNC(E427*F427,2)</f>
        <v>53.92</v>
      </c>
      <c r="H427" s="9"/>
    </row>
    <row r="428" spans="1:8" ht="15">
      <c r="A428" s="60"/>
      <c r="B428" s="61" t="s">
        <v>178</v>
      </c>
      <c r="C428" s="31" t="s">
        <v>179</v>
      </c>
      <c r="D428" s="32" t="s">
        <v>3</v>
      </c>
      <c r="E428" s="72">
        <v>2</v>
      </c>
      <c r="F428" s="33">
        <f>TRUNC(20.98,2)</f>
        <v>20.98</v>
      </c>
      <c r="G428" s="34">
        <f>TRUNC(E428*F428,2)</f>
        <v>41.96</v>
      </c>
      <c r="H428" s="9"/>
    </row>
    <row r="429" spans="1:8" ht="15">
      <c r="A429" s="60"/>
      <c r="B429" s="61"/>
      <c r="C429" s="31"/>
      <c r="D429" s="32"/>
      <c r="E429" s="72" t="s">
        <v>6</v>
      </c>
      <c r="F429" s="33"/>
      <c r="G429" s="34">
        <f>TRUNC(SUM(G426:G428),2)</f>
        <v>242.06</v>
      </c>
      <c r="H429" s="9"/>
    </row>
    <row r="430" spans="1:8" ht="30">
      <c r="A430" s="63" t="s">
        <v>288</v>
      </c>
      <c r="B430" s="28" t="s">
        <v>176</v>
      </c>
      <c r="C430" s="27" t="s">
        <v>177</v>
      </c>
      <c r="D430" s="28" t="s">
        <v>9</v>
      </c>
      <c r="E430" s="64">
        <v>1</v>
      </c>
      <c r="F430" s="29">
        <v>54.59</v>
      </c>
      <c r="G430" s="30">
        <f>TRUNC((E430*F430),2)</f>
        <v>54.59</v>
      </c>
      <c r="H430" s="9">
        <f>TRUNC((F430*1.2338),2)</f>
        <v>67.35</v>
      </c>
    </row>
    <row r="431" spans="1:8" ht="30">
      <c r="A431" s="60" t="s">
        <v>64</v>
      </c>
      <c r="B431" s="211" t="s">
        <v>176</v>
      </c>
      <c r="C431" s="31" t="s">
        <v>177</v>
      </c>
      <c r="D431" s="32" t="s">
        <v>9</v>
      </c>
      <c r="E431" s="62">
        <v>1</v>
      </c>
      <c r="F431" s="33">
        <f>G435</f>
        <v>54.61</v>
      </c>
      <c r="G431" s="34">
        <f>TRUNC(E431*F431,2)</f>
        <v>54.61</v>
      </c>
      <c r="H431" s="9"/>
    </row>
    <row r="432" spans="1:8" ht="45">
      <c r="A432" s="60"/>
      <c r="B432" s="211" t="s">
        <v>132</v>
      </c>
      <c r="C432" s="31" t="s">
        <v>133</v>
      </c>
      <c r="D432" s="32" t="s">
        <v>9</v>
      </c>
      <c r="E432" s="62">
        <v>1</v>
      </c>
      <c r="F432" s="33">
        <v>42.48</v>
      </c>
      <c r="G432" s="34">
        <f>TRUNC(E432*F432,2)</f>
        <v>42.48</v>
      </c>
      <c r="H432" s="9"/>
    </row>
    <row r="433" spans="1:8" ht="15">
      <c r="A433" s="60"/>
      <c r="B433" s="211" t="s">
        <v>134</v>
      </c>
      <c r="C433" s="31" t="s">
        <v>93</v>
      </c>
      <c r="D433" s="32" t="s">
        <v>3</v>
      </c>
      <c r="E433" s="62">
        <v>0.2531</v>
      </c>
      <c r="F433" s="33">
        <f>TRUNC(26.96,2)</f>
        <v>26.96</v>
      </c>
      <c r="G433" s="34">
        <f>TRUNC(E433*F433,2)</f>
        <v>6.82</v>
      </c>
      <c r="H433" s="9"/>
    </row>
    <row r="434" spans="1:8" ht="15">
      <c r="A434" s="60"/>
      <c r="B434" s="211" t="s">
        <v>178</v>
      </c>
      <c r="C434" s="31" t="s">
        <v>179</v>
      </c>
      <c r="D434" s="32" t="s">
        <v>3</v>
      </c>
      <c r="E434" s="62">
        <v>0.2531</v>
      </c>
      <c r="F434" s="33">
        <f>TRUNC(20.98,2)</f>
        <v>20.98</v>
      </c>
      <c r="G434" s="34">
        <f>TRUNC(E434*F434,2)</f>
        <v>5.31</v>
      </c>
      <c r="H434" s="9"/>
    </row>
    <row r="435" spans="1:8" ht="15">
      <c r="A435" s="60"/>
      <c r="B435" s="211"/>
      <c r="C435" s="31"/>
      <c r="D435" s="32"/>
      <c r="E435" s="62" t="s">
        <v>6</v>
      </c>
      <c r="F435" s="33"/>
      <c r="G435" s="34">
        <f>TRUNC(SUM(G432:G434),2)</f>
        <v>54.61</v>
      </c>
      <c r="H435" s="9"/>
    </row>
    <row r="436" spans="1:8" ht="30">
      <c r="A436" s="63" t="s">
        <v>289</v>
      </c>
      <c r="B436" s="28" t="s">
        <v>267</v>
      </c>
      <c r="C436" s="27" t="s">
        <v>268</v>
      </c>
      <c r="D436" s="28" t="s">
        <v>9</v>
      </c>
      <c r="E436" s="64">
        <v>2</v>
      </c>
      <c r="F436" s="29">
        <v>11.21</v>
      </c>
      <c r="G436" s="30">
        <f>TRUNC((E436*F436),2)</f>
        <v>22.42</v>
      </c>
      <c r="H436" s="9">
        <f>TRUNC((F436*1.2338),2)</f>
        <v>13.83</v>
      </c>
    </row>
    <row r="437" spans="1:8" ht="30">
      <c r="A437" s="60" t="s">
        <v>64</v>
      </c>
      <c r="B437" s="61" t="s">
        <v>267</v>
      </c>
      <c r="C437" s="31" t="s">
        <v>268</v>
      </c>
      <c r="D437" s="32" t="s">
        <v>9</v>
      </c>
      <c r="E437" s="72">
        <v>1</v>
      </c>
      <c r="F437" s="33">
        <f>G442</f>
        <v>12.38</v>
      </c>
      <c r="G437" s="34">
        <f>TRUNC(E437*F437,2)</f>
        <v>12.38</v>
      </c>
      <c r="H437" s="9"/>
    </row>
    <row r="438" spans="1:8" ht="15">
      <c r="A438" s="60"/>
      <c r="B438" s="61" t="s">
        <v>192</v>
      </c>
      <c r="C438" s="31" t="s">
        <v>193</v>
      </c>
      <c r="D438" s="32" t="s">
        <v>9</v>
      </c>
      <c r="E438" s="72">
        <v>1</v>
      </c>
      <c r="F438" s="33">
        <v>8.45</v>
      </c>
      <c r="G438" s="34">
        <f>TRUNC(E438*F438,2)</f>
        <v>8.45</v>
      </c>
      <c r="H438" s="9"/>
    </row>
    <row r="439" spans="1:8" ht="30">
      <c r="A439" s="60"/>
      <c r="B439" s="61" t="s">
        <v>269</v>
      </c>
      <c r="C439" s="31" t="s">
        <v>270</v>
      </c>
      <c r="D439" s="32" t="s">
        <v>9</v>
      </c>
      <c r="E439" s="72">
        <v>1</v>
      </c>
      <c r="F439" s="33">
        <v>0.78</v>
      </c>
      <c r="G439" s="34">
        <f>TRUNC(E439*F439,2)</f>
        <v>0.78</v>
      </c>
      <c r="H439" s="9"/>
    </row>
    <row r="440" spans="1:8" ht="15">
      <c r="A440" s="60"/>
      <c r="B440" s="61" t="s">
        <v>134</v>
      </c>
      <c r="C440" s="31" t="s">
        <v>93</v>
      </c>
      <c r="D440" s="32" t="s">
        <v>3</v>
      </c>
      <c r="E440" s="72">
        <v>0.066</v>
      </c>
      <c r="F440" s="33">
        <f>TRUNC(26.96,2)</f>
        <v>26.96</v>
      </c>
      <c r="G440" s="34">
        <f>TRUNC(E440*F440,2)</f>
        <v>1.77</v>
      </c>
      <c r="H440" s="9"/>
    </row>
    <row r="441" spans="1:8" ht="15">
      <c r="A441" s="60"/>
      <c r="B441" s="61" t="s">
        <v>178</v>
      </c>
      <c r="C441" s="31" t="s">
        <v>179</v>
      </c>
      <c r="D441" s="32" t="s">
        <v>3</v>
      </c>
      <c r="E441" s="72">
        <v>0.066</v>
      </c>
      <c r="F441" s="33">
        <f>TRUNC(20.98,2)</f>
        <v>20.98</v>
      </c>
      <c r="G441" s="34">
        <f>TRUNC(E441*F441,2)</f>
        <v>1.38</v>
      </c>
      <c r="H441" s="9"/>
    </row>
    <row r="442" spans="1:8" ht="15">
      <c r="A442" s="60"/>
      <c r="B442" s="61"/>
      <c r="C442" s="31"/>
      <c r="D442" s="32"/>
      <c r="E442" s="72" t="s">
        <v>6</v>
      </c>
      <c r="F442" s="33"/>
      <c r="G442" s="34">
        <f>TRUNC(SUM(G438:G441),2)</f>
        <v>12.38</v>
      </c>
      <c r="H442" s="9"/>
    </row>
    <row r="443" spans="1:8" ht="30">
      <c r="A443" s="63" t="s">
        <v>302</v>
      </c>
      <c r="B443" s="215" t="s">
        <v>194</v>
      </c>
      <c r="C443" s="27" t="s">
        <v>195</v>
      </c>
      <c r="D443" s="28" t="s">
        <v>9</v>
      </c>
      <c r="E443" s="64">
        <v>2</v>
      </c>
      <c r="F443" s="29">
        <v>49.13</v>
      </c>
      <c r="G443" s="30">
        <f>TRUNC((E443*F443),2)</f>
        <v>98.26</v>
      </c>
      <c r="H443" s="9">
        <f>TRUNC((F443*1.2338),2)</f>
        <v>60.61</v>
      </c>
    </row>
    <row r="444" spans="1:8" ht="30">
      <c r="A444" s="60" t="s">
        <v>64</v>
      </c>
      <c r="B444" s="61" t="s">
        <v>194</v>
      </c>
      <c r="C444" s="31" t="s">
        <v>195</v>
      </c>
      <c r="D444" s="32" t="s">
        <v>9</v>
      </c>
      <c r="E444" s="72">
        <v>1</v>
      </c>
      <c r="F444" s="33">
        <f>G449</f>
        <v>54.21</v>
      </c>
      <c r="G444" s="34">
        <f>TRUNC(E444*F444,2)</f>
        <v>54.21</v>
      </c>
      <c r="H444" s="9"/>
    </row>
    <row r="445" spans="1:8" ht="15">
      <c r="A445" s="60"/>
      <c r="B445" s="61" t="s">
        <v>553</v>
      </c>
      <c r="C445" s="31" t="s">
        <v>554</v>
      </c>
      <c r="D445" s="32" t="s">
        <v>9</v>
      </c>
      <c r="E445" s="72">
        <v>1</v>
      </c>
      <c r="F445" s="33">
        <v>48.46</v>
      </c>
      <c r="G445" s="34">
        <f>TRUNC(E445*F445,2)</f>
        <v>48.46</v>
      </c>
      <c r="H445" s="9"/>
    </row>
    <row r="446" spans="1:8" ht="30">
      <c r="A446" s="60"/>
      <c r="B446" s="61" t="s">
        <v>555</v>
      </c>
      <c r="C446" s="31" t="s">
        <v>556</v>
      </c>
      <c r="D446" s="32" t="s">
        <v>9</v>
      </c>
      <c r="E446" s="72">
        <v>2</v>
      </c>
      <c r="F446" s="33">
        <v>0.6</v>
      </c>
      <c r="G446" s="34">
        <f>TRUNC(E446*F446,2)</f>
        <v>1.2</v>
      </c>
      <c r="H446" s="9"/>
    </row>
    <row r="447" spans="1:8" ht="15">
      <c r="A447" s="60"/>
      <c r="B447" s="61" t="s">
        <v>134</v>
      </c>
      <c r="C447" s="31" t="s">
        <v>93</v>
      </c>
      <c r="D447" s="32" t="s">
        <v>3</v>
      </c>
      <c r="E447" s="72">
        <v>0.095</v>
      </c>
      <c r="F447" s="33">
        <f>TRUNC(26.96,2)</f>
        <v>26.96</v>
      </c>
      <c r="G447" s="34">
        <f>TRUNC(E447*F447,2)</f>
        <v>2.56</v>
      </c>
      <c r="H447" s="9"/>
    </row>
    <row r="448" spans="1:8" ht="15">
      <c r="A448" s="60"/>
      <c r="B448" s="61" t="s">
        <v>178</v>
      </c>
      <c r="C448" s="31" t="s">
        <v>179</v>
      </c>
      <c r="D448" s="32" t="s">
        <v>3</v>
      </c>
      <c r="E448" s="72">
        <v>0.095</v>
      </c>
      <c r="F448" s="33">
        <f>TRUNC(20.98,2)</f>
        <v>20.98</v>
      </c>
      <c r="G448" s="34">
        <f>TRUNC(E448*F448,2)</f>
        <v>1.99</v>
      </c>
      <c r="H448" s="9"/>
    </row>
    <row r="449" spans="1:8" ht="15">
      <c r="A449" s="60"/>
      <c r="B449" s="61"/>
      <c r="C449" s="31"/>
      <c r="D449" s="32"/>
      <c r="E449" s="72" t="s">
        <v>6</v>
      </c>
      <c r="F449" s="33"/>
      <c r="G449" s="34">
        <f>TRUNC(SUM(G445:G448),2)</f>
        <v>54.21</v>
      </c>
      <c r="H449" s="9"/>
    </row>
    <row r="450" spans="1:8" ht="30">
      <c r="A450" s="65" t="s">
        <v>303</v>
      </c>
      <c r="B450" s="216" t="s">
        <v>196</v>
      </c>
      <c r="C450" s="66" t="s">
        <v>197</v>
      </c>
      <c r="D450" s="67" t="s">
        <v>9</v>
      </c>
      <c r="E450" s="68">
        <v>1</v>
      </c>
      <c r="F450" s="26">
        <v>74.13</v>
      </c>
      <c r="G450" s="70">
        <f>TRUNC((E450*F450),2)</f>
        <v>74.13</v>
      </c>
      <c r="H450" s="9">
        <f>TRUNC((F450*1.2338),2)</f>
        <v>91.46</v>
      </c>
    </row>
    <row r="451" spans="1:8" ht="30">
      <c r="A451" s="51" t="s">
        <v>64</v>
      </c>
      <c r="B451" s="52" t="s">
        <v>196</v>
      </c>
      <c r="C451" s="35" t="s">
        <v>197</v>
      </c>
      <c r="D451" s="36" t="s">
        <v>9</v>
      </c>
      <c r="E451" s="53">
        <v>1</v>
      </c>
      <c r="F451" s="37">
        <f>G456</f>
        <v>81.82</v>
      </c>
      <c r="G451" s="38">
        <f>TRUNC(E451*F451,2)</f>
        <v>81.82</v>
      </c>
      <c r="H451" s="9"/>
    </row>
    <row r="452" spans="1:8" ht="15">
      <c r="A452" s="60"/>
      <c r="B452" s="61" t="s">
        <v>198</v>
      </c>
      <c r="C452" s="31" t="s">
        <v>199</v>
      </c>
      <c r="D452" s="32" t="s">
        <v>9</v>
      </c>
      <c r="E452" s="62">
        <v>1</v>
      </c>
      <c r="F452" s="33">
        <v>59.37</v>
      </c>
      <c r="G452" s="34">
        <f>TRUNC(E452*F452,2)</f>
        <v>59.37</v>
      </c>
      <c r="H452" s="9"/>
    </row>
    <row r="453" spans="1:8" ht="30">
      <c r="A453" s="60"/>
      <c r="B453" s="61" t="s">
        <v>200</v>
      </c>
      <c r="C453" s="31" t="s">
        <v>201</v>
      </c>
      <c r="D453" s="32" t="s">
        <v>9</v>
      </c>
      <c r="E453" s="62">
        <v>3</v>
      </c>
      <c r="F453" s="33">
        <v>1</v>
      </c>
      <c r="G453" s="34">
        <f>TRUNC(E453*F453,2)</f>
        <v>3</v>
      </c>
      <c r="H453" s="9"/>
    </row>
    <row r="454" spans="1:8" ht="15">
      <c r="A454" s="60"/>
      <c r="B454" s="61" t="s">
        <v>134</v>
      </c>
      <c r="C454" s="31" t="s">
        <v>93</v>
      </c>
      <c r="D454" s="32" t="s">
        <v>3</v>
      </c>
      <c r="E454" s="62">
        <v>0.406</v>
      </c>
      <c r="F454" s="33">
        <f>TRUNC(26.96,2)</f>
        <v>26.96</v>
      </c>
      <c r="G454" s="34">
        <f>TRUNC(E454*F454,2)</f>
        <v>10.94</v>
      </c>
      <c r="H454" s="9"/>
    </row>
    <row r="455" spans="1:8" ht="15">
      <c r="A455" s="60"/>
      <c r="B455" s="61" t="s">
        <v>178</v>
      </c>
      <c r="C455" s="31" t="s">
        <v>179</v>
      </c>
      <c r="D455" s="32" t="s">
        <v>3</v>
      </c>
      <c r="E455" s="62">
        <v>0.406</v>
      </c>
      <c r="F455" s="33">
        <f>TRUNC(20.98,2)</f>
        <v>20.98</v>
      </c>
      <c r="G455" s="34">
        <f>TRUNC(E455*F455,2)</f>
        <v>8.51</v>
      </c>
      <c r="H455" s="9"/>
    </row>
    <row r="456" spans="1:8" ht="15">
      <c r="A456" s="60"/>
      <c r="B456" s="61"/>
      <c r="C456" s="31"/>
      <c r="D456" s="32"/>
      <c r="E456" s="62" t="s">
        <v>6</v>
      </c>
      <c r="F456" s="33"/>
      <c r="G456" s="34">
        <f>TRUNC(SUM(G452:G455),2)</f>
        <v>81.82</v>
      </c>
      <c r="H456" s="9"/>
    </row>
    <row r="457" spans="1:8" ht="75">
      <c r="A457" s="65" t="s">
        <v>304</v>
      </c>
      <c r="B457" s="216" t="s">
        <v>202</v>
      </c>
      <c r="C457" s="66" t="s">
        <v>203</v>
      </c>
      <c r="D457" s="67" t="s">
        <v>9</v>
      </c>
      <c r="E457" s="68">
        <v>1</v>
      </c>
      <c r="F457" s="69">
        <v>3666.11</v>
      </c>
      <c r="G457" s="217">
        <f>TRUNC((E457*F457),2)</f>
        <v>3666.11</v>
      </c>
      <c r="H457" s="9">
        <f>TRUNC((F457*1.2338),2)</f>
        <v>4523.24</v>
      </c>
    </row>
    <row r="458" spans="1:8" ht="75">
      <c r="A458" s="51" t="s">
        <v>64</v>
      </c>
      <c r="B458" s="209" t="s">
        <v>202</v>
      </c>
      <c r="C458" s="35" t="s">
        <v>203</v>
      </c>
      <c r="D458" s="36" t="s">
        <v>9</v>
      </c>
      <c r="E458" s="53">
        <v>1</v>
      </c>
      <c r="F458" s="37">
        <f>G483</f>
        <v>3697.55</v>
      </c>
      <c r="G458" s="38">
        <f aca="true" t="shared" si="20" ref="G458:G482">TRUNC(E458*F458,2)</f>
        <v>3697.55</v>
      </c>
      <c r="H458" s="9"/>
    </row>
    <row r="459" spans="1:8" ht="30">
      <c r="A459" s="60"/>
      <c r="B459" s="211" t="s">
        <v>557</v>
      </c>
      <c r="C459" s="31" t="s">
        <v>558</v>
      </c>
      <c r="D459" s="32" t="s">
        <v>9</v>
      </c>
      <c r="E459" s="62">
        <v>1</v>
      </c>
      <c r="F459" s="33">
        <f>TRUNC(426.4,2)</f>
        <v>426.4</v>
      </c>
      <c r="G459" s="34">
        <f t="shared" si="20"/>
        <v>426.4</v>
      </c>
      <c r="H459" s="9"/>
    </row>
    <row r="460" spans="1:8" ht="30">
      <c r="A460" s="60"/>
      <c r="B460" s="211" t="s">
        <v>559</v>
      </c>
      <c r="C460" s="31" t="s">
        <v>560</v>
      </c>
      <c r="D460" s="32" t="s">
        <v>17</v>
      </c>
      <c r="E460" s="62">
        <v>0.5</v>
      </c>
      <c r="F460" s="33">
        <f>TRUNC(40.7168,2)</f>
        <v>40.71</v>
      </c>
      <c r="G460" s="34">
        <f t="shared" si="20"/>
        <v>20.35</v>
      </c>
      <c r="H460" s="9"/>
    </row>
    <row r="461" spans="1:8" ht="30">
      <c r="A461" s="60"/>
      <c r="B461" s="211" t="s">
        <v>86</v>
      </c>
      <c r="C461" s="31" t="s">
        <v>87</v>
      </c>
      <c r="D461" s="32" t="s">
        <v>9</v>
      </c>
      <c r="E461" s="62">
        <v>1</v>
      </c>
      <c r="F461" s="33">
        <f>TRUNC(4.14,2)</f>
        <v>4.14</v>
      </c>
      <c r="G461" s="34">
        <f t="shared" si="20"/>
        <v>4.14</v>
      </c>
      <c r="H461" s="9"/>
    </row>
    <row r="462" spans="1:8" ht="30">
      <c r="A462" s="60"/>
      <c r="B462" s="211" t="s">
        <v>561</v>
      </c>
      <c r="C462" s="31" t="s">
        <v>562</v>
      </c>
      <c r="D462" s="32" t="s">
        <v>9</v>
      </c>
      <c r="E462" s="62">
        <v>1</v>
      </c>
      <c r="F462" s="33">
        <f>TRUNC(22.05,2)</f>
        <v>22.05</v>
      </c>
      <c r="G462" s="34">
        <f t="shared" si="20"/>
        <v>22.05</v>
      </c>
      <c r="H462" s="9"/>
    </row>
    <row r="463" spans="1:8" ht="15">
      <c r="A463" s="60"/>
      <c r="B463" s="211" t="s">
        <v>88</v>
      </c>
      <c r="C463" s="31" t="s">
        <v>89</v>
      </c>
      <c r="D463" s="32" t="s">
        <v>9</v>
      </c>
      <c r="E463" s="62">
        <v>1</v>
      </c>
      <c r="F463" s="33">
        <f>TRUNC(0.71,2)</f>
        <v>0.71</v>
      </c>
      <c r="G463" s="34">
        <f t="shared" si="20"/>
        <v>0.71</v>
      </c>
      <c r="H463" s="9"/>
    </row>
    <row r="464" spans="1:8" ht="15">
      <c r="A464" s="60"/>
      <c r="B464" s="211" t="s">
        <v>563</v>
      </c>
      <c r="C464" s="31" t="s">
        <v>564</v>
      </c>
      <c r="D464" s="32" t="s">
        <v>9</v>
      </c>
      <c r="E464" s="62">
        <v>2</v>
      </c>
      <c r="F464" s="33">
        <f>TRUNC(2.83,2)</f>
        <v>2.83</v>
      </c>
      <c r="G464" s="34">
        <f t="shared" si="20"/>
        <v>5.66</v>
      </c>
      <c r="H464" s="9"/>
    </row>
    <row r="465" spans="1:8" ht="30">
      <c r="A465" s="60"/>
      <c r="B465" s="211" t="s">
        <v>565</v>
      </c>
      <c r="C465" s="31" t="s">
        <v>566</v>
      </c>
      <c r="D465" s="32" t="s">
        <v>9</v>
      </c>
      <c r="E465" s="62">
        <v>1</v>
      </c>
      <c r="F465" s="33">
        <f>TRUNC(178.77,2)</f>
        <v>178.77</v>
      </c>
      <c r="G465" s="34">
        <f t="shared" si="20"/>
        <v>178.77</v>
      </c>
      <c r="H465" s="9"/>
    </row>
    <row r="466" spans="1:8" ht="15">
      <c r="A466" s="60"/>
      <c r="B466" s="211" t="s">
        <v>567</v>
      </c>
      <c r="C466" s="31" t="s">
        <v>568</v>
      </c>
      <c r="D466" s="32" t="s">
        <v>9</v>
      </c>
      <c r="E466" s="62">
        <v>1</v>
      </c>
      <c r="F466" s="33">
        <f>TRUNC(24.1,2)</f>
        <v>24.1</v>
      </c>
      <c r="G466" s="34">
        <f t="shared" si="20"/>
        <v>24.1</v>
      </c>
      <c r="H466" s="9"/>
    </row>
    <row r="467" spans="1:8" ht="15">
      <c r="A467" s="60"/>
      <c r="B467" s="211" t="s">
        <v>569</v>
      </c>
      <c r="C467" s="31" t="s">
        <v>570</v>
      </c>
      <c r="D467" s="32" t="s">
        <v>9</v>
      </c>
      <c r="E467" s="62">
        <v>1</v>
      </c>
      <c r="F467" s="33">
        <f>TRUNC(22.44,2)</f>
        <v>22.44</v>
      </c>
      <c r="G467" s="34">
        <f t="shared" si="20"/>
        <v>22.44</v>
      </c>
      <c r="H467" s="9"/>
    </row>
    <row r="468" spans="1:8" ht="15">
      <c r="A468" s="60"/>
      <c r="B468" s="211" t="s">
        <v>571</v>
      </c>
      <c r="C468" s="31" t="s">
        <v>572</v>
      </c>
      <c r="D468" s="32" t="s">
        <v>9</v>
      </c>
      <c r="E468" s="62">
        <v>1</v>
      </c>
      <c r="F468" s="33">
        <f>TRUNC(33.5,2)</f>
        <v>33.5</v>
      </c>
      <c r="G468" s="34">
        <f t="shared" si="20"/>
        <v>33.5</v>
      </c>
      <c r="H468" s="9"/>
    </row>
    <row r="469" spans="1:8" ht="15">
      <c r="A469" s="60"/>
      <c r="B469" s="211" t="s">
        <v>573</v>
      </c>
      <c r="C469" s="31" t="s">
        <v>574</v>
      </c>
      <c r="D469" s="32" t="s">
        <v>9</v>
      </c>
      <c r="E469" s="62">
        <v>4</v>
      </c>
      <c r="F469" s="33">
        <f>TRUNC(3.53,2)</f>
        <v>3.53</v>
      </c>
      <c r="G469" s="34">
        <f t="shared" si="20"/>
        <v>14.12</v>
      </c>
      <c r="H469" s="9"/>
    </row>
    <row r="470" spans="1:8" ht="15">
      <c r="A470" s="60"/>
      <c r="B470" s="211" t="s">
        <v>575</v>
      </c>
      <c r="C470" s="31" t="s">
        <v>576</v>
      </c>
      <c r="D470" s="32" t="s">
        <v>9</v>
      </c>
      <c r="E470" s="62">
        <v>2</v>
      </c>
      <c r="F470" s="33">
        <f>TRUNC(4.32,2)</f>
        <v>4.32</v>
      </c>
      <c r="G470" s="34">
        <f t="shared" si="20"/>
        <v>8.64</v>
      </c>
      <c r="H470" s="9"/>
    </row>
    <row r="471" spans="1:8" ht="15">
      <c r="A471" s="60"/>
      <c r="B471" s="211" t="s">
        <v>577</v>
      </c>
      <c r="C471" s="31" t="s">
        <v>578</v>
      </c>
      <c r="D471" s="32" t="s">
        <v>9</v>
      </c>
      <c r="E471" s="62">
        <v>1</v>
      </c>
      <c r="F471" s="33">
        <f>TRUNC(60.08,2)</f>
        <v>60.08</v>
      </c>
      <c r="G471" s="34">
        <f t="shared" si="20"/>
        <v>60.08</v>
      </c>
      <c r="H471" s="9"/>
    </row>
    <row r="472" spans="1:8" ht="30">
      <c r="A472" s="60"/>
      <c r="B472" s="211" t="s">
        <v>579</v>
      </c>
      <c r="C472" s="31" t="s">
        <v>580</v>
      </c>
      <c r="D472" s="32" t="s">
        <v>9</v>
      </c>
      <c r="E472" s="62">
        <v>1</v>
      </c>
      <c r="F472" s="33">
        <f>TRUNC(16.25,2)</f>
        <v>16.25</v>
      </c>
      <c r="G472" s="34">
        <f t="shared" si="20"/>
        <v>16.25</v>
      </c>
      <c r="H472" s="9"/>
    </row>
    <row r="473" spans="1:8" ht="30">
      <c r="A473" s="60"/>
      <c r="B473" s="211" t="s">
        <v>581</v>
      </c>
      <c r="C473" s="31" t="s">
        <v>582</v>
      </c>
      <c r="D473" s="32" t="s">
        <v>9</v>
      </c>
      <c r="E473" s="62">
        <v>1</v>
      </c>
      <c r="F473" s="33">
        <f>TRUNC(51.4,2)</f>
        <v>51.4</v>
      </c>
      <c r="G473" s="34">
        <f t="shared" si="20"/>
        <v>51.4</v>
      </c>
      <c r="H473" s="9"/>
    </row>
    <row r="474" spans="1:8" ht="30">
      <c r="A474" s="60"/>
      <c r="B474" s="211" t="s">
        <v>583</v>
      </c>
      <c r="C474" s="31" t="s">
        <v>584</v>
      </c>
      <c r="D474" s="32" t="s">
        <v>9</v>
      </c>
      <c r="E474" s="62">
        <v>1</v>
      </c>
      <c r="F474" s="33">
        <f>TRUNC(23.81,2)</f>
        <v>23.81</v>
      </c>
      <c r="G474" s="34">
        <f t="shared" si="20"/>
        <v>23.81</v>
      </c>
      <c r="H474" s="9"/>
    </row>
    <row r="475" spans="1:8" ht="30">
      <c r="A475" s="60"/>
      <c r="B475" s="211" t="s">
        <v>585</v>
      </c>
      <c r="C475" s="31" t="s">
        <v>586</v>
      </c>
      <c r="D475" s="32" t="s">
        <v>9</v>
      </c>
      <c r="E475" s="62">
        <v>1</v>
      </c>
      <c r="F475" s="33">
        <f>TRUNC(589.54,2)</f>
        <v>589.54</v>
      </c>
      <c r="G475" s="34">
        <f t="shared" si="20"/>
        <v>589.54</v>
      </c>
      <c r="H475" s="9"/>
    </row>
    <row r="476" spans="1:8" ht="15">
      <c r="A476" s="60"/>
      <c r="B476" s="211" t="s">
        <v>587</v>
      </c>
      <c r="C476" s="31" t="s">
        <v>588</v>
      </c>
      <c r="D476" s="32" t="s">
        <v>9</v>
      </c>
      <c r="E476" s="62">
        <v>2</v>
      </c>
      <c r="F476" s="33">
        <f>TRUNC(11.72,2)</f>
        <v>11.72</v>
      </c>
      <c r="G476" s="34">
        <f t="shared" si="20"/>
        <v>23.44</v>
      </c>
      <c r="H476" s="9"/>
    </row>
    <row r="477" spans="1:8" ht="30">
      <c r="A477" s="60"/>
      <c r="B477" s="211" t="s">
        <v>7</v>
      </c>
      <c r="C477" s="31" t="s">
        <v>8</v>
      </c>
      <c r="D477" s="32" t="s">
        <v>3</v>
      </c>
      <c r="E477" s="62">
        <v>32.96</v>
      </c>
      <c r="F477" s="33">
        <f>TRUNC(14.47,2)</f>
        <v>14.47</v>
      </c>
      <c r="G477" s="34">
        <f t="shared" si="20"/>
        <v>476.93</v>
      </c>
      <c r="H477" s="9"/>
    </row>
    <row r="478" spans="1:8" ht="30">
      <c r="A478" s="60"/>
      <c r="B478" s="211" t="s">
        <v>18</v>
      </c>
      <c r="C478" s="31" t="s">
        <v>19</v>
      </c>
      <c r="D478" s="32" t="s">
        <v>3</v>
      </c>
      <c r="E478" s="62">
        <v>32.96</v>
      </c>
      <c r="F478" s="33">
        <f>TRUNC(19.97,2)</f>
        <v>19.97</v>
      </c>
      <c r="G478" s="34">
        <f t="shared" si="20"/>
        <v>658.21</v>
      </c>
      <c r="H478" s="9"/>
    </row>
    <row r="479" spans="1:8" ht="15">
      <c r="A479" s="60"/>
      <c r="B479" s="211" t="s">
        <v>589</v>
      </c>
      <c r="C479" s="31" t="s">
        <v>590</v>
      </c>
      <c r="D479" s="32" t="s">
        <v>11</v>
      </c>
      <c r="E479" s="62">
        <v>0.05</v>
      </c>
      <c r="F479" s="33">
        <f>TRUNC(1943.0077,2)</f>
        <v>1943</v>
      </c>
      <c r="G479" s="34">
        <f t="shared" si="20"/>
        <v>97.15</v>
      </c>
      <c r="H479" s="9"/>
    </row>
    <row r="480" spans="1:8" ht="15">
      <c r="A480" s="60"/>
      <c r="B480" s="211" t="s">
        <v>591</v>
      </c>
      <c r="C480" s="31" t="s">
        <v>592</v>
      </c>
      <c r="D480" s="32" t="s">
        <v>593</v>
      </c>
      <c r="E480" s="62">
        <v>400</v>
      </c>
      <c r="F480" s="33">
        <f>TRUNC(1.0761,2)</f>
        <v>1.07</v>
      </c>
      <c r="G480" s="34">
        <f t="shared" si="20"/>
        <v>428</v>
      </c>
      <c r="H480" s="9"/>
    </row>
    <row r="481" spans="1:8" ht="15">
      <c r="A481" s="60"/>
      <c r="B481" s="211" t="s">
        <v>204</v>
      </c>
      <c r="C481" s="31" t="s">
        <v>205</v>
      </c>
      <c r="D481" s="32" t="s">
        <v>0</v>
      </c>
      <c r="E481" s="62">
        <v>8.8</v>
      </c>
      <c r="F481" s="33">
        <f>TRUNC(48.1851,2)</f>
        <v>48.18</v>
      </c>
      <c r="G481" s="34">
        <f t="shared" si="20"/>
        <v>423.98</v>
      </c>
      <c r="H481" s="9"/>
    </row>
    <row r="482" spans="1:8" ht="15">
      <c r="A482" s="60"/>
      <c r="B482" s="211" t="s">
        <v>139</v>
      </c>
      <c r="C482" s="31" t="s">
        <v>140</v>
      </c>
      <c r="D482" s="32" t="s">
        <v>11</v>
      </c>
      <c r="E482" s="62">
        <v>0.32</v>
      </c>
      <c r="F482" s="33">
        <f>TRUNC(274.6456,2)</f>
        <v>274.64</v>
      </c>
      <c r="G482" s="34">
        <f t="shared" si="20"/>
        <v>87.88</v>
      </c>
      <c r="H482" s="9"/>
    </row>
    <row r="483" spans="1:8" ht="15">
      <c r="A483" s="60"/>
      <c r="B483" s="211"/>
      <c r="C483" s="31"/>
      <c r="D483" s="32"/>
      <c r="E483" s="62" t="s">
        <v>6</v>
      </c>
      <c r="F483" s="33"/>
      <c r="G483" s="34">
        <f>TRUNC(SUM(G459:G482),2)</f>
        <v>3697.55</v>
      </c>
      <c r="H483" s="9"/>
    </row>
    <row r="484" spans="1:8" ht="30">
      <c r="A484" s="63" t="s">
        <v>305</v>
      </c>
      <c r="B484" s="28" t="s">
        <v>176</v>
      </c>
      <c r="C484" s="27" t="s">
        <v>177</v>
      </c>
      <c r="D484" s="28" t="s">
        <v>9</v>
      </c>
      <c r="E484" s="64">
        <v>1</v>
      </c>
      <c r="F484" s="29">
        <v>54.59</v>
      </c>
      <c r="G484" s="30">
        <f>TRUNC((E484*F484),2)</f>
        <v>54.59</v>
      </c>
      <c r="H484" s="9">
        <f>TRUNC((F484*1.2338),2)</f>
        <v>67.35</v>
      </c>
    </row>
    <row r="485" spans="1:8" ht="30">
      <c r="A485" s="60" t="s">
        <v>64</v>
      </c>
      <c r="B485" s="211" t="s">
        <v>176</v>
      </c>
      <c r="C485" s="31" t="s">
        <v>177</v>
      </c>
      <c r="D485" s="32" t="s">
        <v>9</v>
      </c>
      <c r="E485" s="62">
        <v>1</v>
      </c>
      <c r="F485" s="33">
        <f>G489</f>
        <v>54.61</v>
      </c>
      <c r="G485" s="34">
        <f>TRUNC(E485*F485,2)</f>
        <v>54.61</v>
      </c>
      <c r="H485" s="9"/>
    </row>
    <row r="486" spans="1:8" ht="45">
      <c r="A486" s="60"/>
      <c r="B486" s="211" t="s">
        <v>132</v>
      </c>
      <c r="C486" s="31" t="s">
        <v>133</v>
      </c>
      <c r="D486" s="32" t="s">
        <v>9</v>
      </c>
      <c r="E486" s="62">
        <v>1</v>
      </c>
      <c r="F486" s="33">
        <v>42.48</v>
      </c>
      <c r="G486" s="34">
        <f>TRUNC(E486*F486,2)</f>
        <v>42.48</v>
      </c>
      <c r="H486" s="9"/>
    </row>
    <row r="487" spans="1:8" ht="15">
      <c r="A487" s="60"/>
      <c r="B487" s="211" t="s">
        <v>134</v>
      </c>
      <c r="C487" s="31" t="s">
        <v>93</v>
      </c>
      <c r="D487" s="32" t="s">
        <v>3</v>
      </c>
      <c r="E487" s="62">
        <v>0.2531</v>
      </c>
      <c r="F487" s="33">
        <f>TRUNC(26.96,2)</f>
        <v>26.96</v>
      </c>
      <c r="G487" s="34">
        <f>TRUNC(E487*F487,2)</f>
        <v>6.82</v>
      </c>
      <c r="H487" s="9"/>
    </row>
    <row r="488" spans="1:8" ht="15">
      <c r="A488" s="60"/>
      <c r="B488" s="211" t="s">
        <v>178</v>
      </c>
      <c r="C488" s="31" t="s">
        <v>179</v>
      </c>
      <c r="D488" s="32" t="s">
        <v>3</v>
      </c>
      <c r="E488" s="62">
        <v>0.2531</v>
      </c>
      <c r="F488" s="33">
        <f>TRUNC(20.98,2)</f>
        <v>20.98</v>
      </c>
      <c r="G488" s="34">
        <f>TRUNC(E488*F488,2)</f>
        <v>5.31</v>
      </c>
      <c r="H488" s="9"/>
    </row>
    <row r="489" spans="1:8" ht="15">
      <c r="A489" s="60"/>
      <c r="B489" s="211"/>
      <c r="C489" s="31"/>
      <c r="D489" s="32"/>
      <c r="E489" s="62" t="s">
        <v>6</v>
      </c>
      <c r="F489" s="33"/>
      <c r="G489" s="34">
        <f>TRUNC(SUM(G486:G488),2)</f>
        <v>54.61</v>
      </c>
      <c r="H489" s="9"/>
    </row>
    <row r="490" spans="1:8" ht="60">
      <c r="A490" s="63" t="s">
        <v>306</v>
      </c>
      <c r="B490" s="28" t="s">
        <v>206</v>
      </c>
      <c r="C490" s="27" t="s">
        <v>90</v>
      </c>
      <c r="D490" s="28" t="s">
        <v>10</v>
      </c>
      <c r="E490" s="64">
        <v>600</v>
      </c>
      <c r="F490" s="29">
        <v>5.76</v>
      </c>
      <c r="G490" s="30">
        <f>TRUNC((E490*F490),2)</f>
        <v>3456</v>
      </c>
      <c r="H490" s="9">
        <f>TRUNC((F490*1.2338),2)</f>
        <v>7.1</v>
      </c>
    </row>
    <row r="491" spans="1:8" ht="60">
      <c r="A491" s="51" t="s">
        <v>64</v>
      </c>
      <c r="B491" s="52" t="s">
        <v>206</v>
      </c>
      <c r="C491" s="35" t="s">
        <v>90</v>
      </c>
      <c r="D491" s="36" t="s">
        <v>10</v>
      </c>
      <c r="E491" s="71">
        <v>1</v>
      </c>
      <c r="F491" s="37">
        <f>G495</f>
        <v>5.83</v>
      </c>
      <c r="G491" s="38">
        <f>TRUNC(E491*F491,2)</f>
        <v>5.83</v>
      </c>
      <c r="H491" s="9"/>
    </row>
    <row r="492" spans="1:8" ht="30">
      <c r="A492" s="60"/>
      <c r="B492" s="61" t="s">
        <v>86</v>
      </c>
      <c r="C492" s="31" t="s">
        <v>87</v>
      </c>
      <c r="D492" s="32" t="s">
        <v>9</v>
      </c>
      <c r="E492" s="72">
        <v>0.385</v>
      </c>
      <c r="F492" s="33">
        <v>4.14</v>
      </c>
      <c r="G492" s="34">
        <f>TRUNC(E492*F492,2)</f>
        <v>1.59</v>
      </c>
      <c r="H492" s="9"/>
    </row>
    <row r="493" spans="1:8" ht="30">
      <c r="A493" s="60"/>
      <c r="B493" s="61" t="s">
        <v>7</v>
      </c>
      <c r="C493" s="31" t="s">
        <v>8</v>
      </c>
      <c r="D493" s="32" t="s">
        <v>3</v>
      </c>
      <c r="E493" s="72">
        <v>0.1236</v>
      </c>
      <c r="F493" s="33">
        <f>TRUNC(14.47,2)</f>
        <v>14.47</v>
      </c>
      <c r="G493" s="34">
        <f>TRUNC(E493*F493,2)</f>
        <v>1.78</v>
      </c>
      <c r="H493" s="9"/>
    </row>
    <row r="494" spans="1:8" ht="30">
      <c r="A494" s="60"/>
      <c r="B494" s="61" t="s">
        <v>18</v>
      </c>
      <c r="C494" s="31" t="s">
        <v>19</v>
      </c>
      <c r="D494" s="32" t="s">
        <v>3</v>
      </c>
      <c r="E494" s="72">
        <v>0.1236</v>
      </c>
      <c r="F494" s="33">
        <f>TRUNC(19.97,2)</f>
        <v>19.97</v>
      </c>
      <c r="G494" s="34">
        <f>TRUNC(E494*F494,2)</f>
        <v>2.46</v>
      </c>
      <c r="H494" s="9"/>
    </row>
    <row r="495" spans="1:8" ht="15">
      <c r="A495" s="60"/>
      <c r="B495" s="61"/>
      <c r="C495" s="31"/>
      <c r="D495" s="32"/>
      <c r="E495" s="72" t="s">
        <v>6</v>
      </c>
      <c r="F495" s="33"/>
      <c r="G495" s="34">
        <f>TRUNC(SUM(G492:G494),2)</f>
        <v>5.83</v>
      </c>
      <c r="H495" s="9"/>
    </row>
    <row r="496" spans="1:8" ht="60">
      <c r="A496" s="65" t="s">
        <v>307</v>
      </c>
      <c r="B496" s="67" t="s">
        <v>207</v>
      </c>
      <c r="C496" s="66" t="s">
        <v>208</v>
      </c>
      <c r="D496" s="67" t="s">
        <v>10</v>
      </c>
      <c r="E496" s="68">
        <v>55</v>
      </c>
      <c r="F496" s="69">
        <v>7.34</v>
      </c>
      <c r="G496" s="70">
        <f>TRUNC((E496*F496),2)</f>
        <v>403.7</v>
      </c>
      <c r="H496" s="9">
        <f>TRUNC((F496*1.2338),2)</f>
        <v>9.05</v>
      </c>
    </row>
    <row r="497" spans="1:8" ht="60">
      <c r="A497" s="51" t="s">
        <v>64</v>
      </c>
      <c r="B497" s="52" t="s">
        <v>207</v>
      </c>
      <c r="C497" s="35" t="s">
        <v>208</v>
      </c>
      <c r="D497" s="36" t="s">
        <v>10</v>
      </c>
      <c r="E497" s="71">
        <v>1</v>
      </c>
      <c r="F497" s="37">
        <f>G501</f>
        <v>7.44</v>
      </c>
      <c r="G497" s="38">
        <f>TRUNC(E497*F497,2)</f>
        <v>7.44</v>
      </c>
      <c r="H497" s="9"/>
    </row>
    <row r="498" spans="1:8" ht="30">
      <c r="A498" s="60"/>
      <c r="B498" s="61" t="s">
        <v>209</v>
      </c>
      <c r="C498" s="31" t="s">
        <v>210</v>
      </c>
      <c r="D498" s="32" t="s">
        <v>9</v>
      </c>
      <c r="E498" s="72">
        <v>0.385</v>
      </c>
      <c r="F498" s="33">
        <v>6.47</v>
      </c>
      <c r="G498" s="34">
        <f>TRUNC(E498*F498,2)</f>
        <v>2.49</v>
      </c>
      <c r="H498" s="9"/>
    </row>
    <row r="499" spans="1:8" ht="30">
      <c r="A499" s="60"/>
      <c r="B499" s="61" t="s">
        <v>7</v>
      </c>
      <c r="C499" s="31" t="s">
        <v>8</v>
      </c>
      <c r="D499" s="32" t="s">
        <v>3</v>
      </c>
      <c r="E499" s="72">
        <v>0.14420000000000002</v>
      </c>
      <c r="F499" s="33">
        <f>TRUNC(14.47,2)</f>
        <v>14.47</v>
      </c>
      <c r="G499" s="34">
        <f>TRUNC(E499*F499,2)</f>
        <v>2.08</v>
      </c>
      <c r="H499" s="9"/>
    </row>
    <row r="500" spans="1:8" ht="30">
      <c r="A500" s="60"/>
      <c r="B500" s="61" t="s">
        <v>18</v>
      </c>
      <c r="C500" s="31" t="s">
        <v>19</v>
      </c>
      <c r="D500" s="32" t="s">
        <v>3</v>
      </c>
      <c r="E500" s="72">
        <v>0.14420000000000002</v>
      </c>
      <c r="F500" s="33">
        <f>TRUNC(19.97,2)</f>
        <v>19.97</v>
      </c>
      <c r="G500" s="34">
        <f>TRUNC(E500*F500,2)</f>
        <v>2.87</v>
      </c>
      <c r="H500" s="9"/>
    </row>
    <row r="501" spans="1:8" ht="15">
      <c r="A501" s="60"/>
      <c r="B501" s="61"/>
      <c r="C501" s="31"/>
      <c r="D501" s="32"/>
      <c r="E501" s="72" t="s">
        <v>6</v>
      </c>
      <c r="F501" s="33"/>
      <c r="G501" s="34">
        <f>TRUNC(SUM(G498:G500),2)</f>
        <v>7.44</v>
      </c>
      <c r="H501" s="9"/>
    </row>
    <row r="502" spans="1:8" ht="60">
      <c r="A502" s="65" t="s">
        <v>308</v>
      </c>
      <c r="B502" s="67" t="s">
        <v>211</v>
      </c>
      <c r="C502" s="66" t="s">
        <v>212</v>
      </c>
      <c r="D502" s="67" t="s">
        <v>10</v>
      </c>
      <c r="E502" s="68">
        <v>20</v>
      </c>
      <c r="F502" s="69">
        <v>10.24</v>
      </c>
      <c r="G502" s="70">
        <f>TRUNC((E502*F502),2)</f>
        <v>204.8</v>
      </c>
      <c r="H502" s="9">
        <f>TRUNC((F502*1.2338),2)</f>
        <v>12.63</v>
      </c>
    </row>
    <row r="503" spans="1:8" ht="60">
      <c r="A503" s="51" t="s">
        <v>64</v>
      </c>
      <c r="B503" s="52" t="s">
        <v>211</v>
      </c>
      <c r="C503" s="35" t="s">
        <v>212</v>
      </c>
      <c r="D503" s="36" t="s">
        <v>10</v>
      </c>
      <c r="E503" s="71">
        <v>1</v>
      </c>
      <c r="F503" s="37">
        <f>G507</f>
        <v>10.38</v>
      </c>
      <c r="G503" s="38">
        <f>TRUNC(E503*F503,2)</f>
        <v>10.38</v>
      </c>
      <c r="H503" s="9"/>
    </row>
    <row r="504" spans="1:8" ht="30">
      <c r="A504" s="60"/>
      <c r="B504" s="61" t="s">
        <v>594</v>
      </c>
      <c r="C504" s="31" t="s">
        <v>595</v>
      </c>
      <c r="D504" s="32" t="s">
        <v>9</v>
      </c>
      <c r="E504" s="72">
        <v>0.385</v>
      </c>
      <c r="F504" s="33">
        <v>10.39</v>
      </c>
      <c r="G504" s="34">
        <f>TRUNC(E504*F504,2)</f>
        <v>4</v>
      </c>
      <c r="H504" s="9"/>
    </row>
    <row r="505" spans="1:8" ht="30">
      <c r="A505" s="60"/>
      <c r="B505" s="61" t="s">
        <v>7</v>
      </c>
      <c r="C505" s="31" t="s">
        <v>8</v>
      </c>
      <c r="D505" s="32" t="s">
        <v>3</v>
      </c>
      <c r="E505" s="72">
        <v>0.1854</v>
      </c>
      <c r="F505" s="33">
        <f>TRUNC(14.47,2)</f>
        <v>14.47</v>
      </c>
      <c r="G505" s="34">
        <f>TRUNC(E505*F505,2)</f>
        <v>2.68</v>
      </c>
      <c r="H505" s="9"/>
    </row>
    <row r="506" spans="1:8" ht="30">
      <c r="A506" s="60"/>
      <c r="B506" s="61" t="s">
        <v>18</v>
      </c>
      <c r="C506" s="31" t="s">
        <v>19</v>
      </c>
      <c r="D506" s="32" t="s">
        <v>3</v>
      </c>
      <c r="E506" s="72">
        <v>0.1854</v>
      </c>
      <c r="F506" s="33">
        <f>TRUNC(19.97,2)</f>
        <v>19.97</v>
      </c>
      <c r="G506" s="34">
        <f>TRUNC(E506*F506,2)</f>
        <v>3.7</v>
      </c>
      <c r="H506" s="9"/>
    </row>
    <row r="507" spans="1:8" ht="15">
      <c r="A507" s="60"/>
      <c r="B507" s="61"/>
      <c r="C507" s="31"/>
      <c r="D507" s="32"/>
      <c r="E507" s="72" t="s">
        <v>6</v>
      </c>
      <c r="F507" s="33"/>
      <c r="G507" s="34">
        <f>TRUNC(SUM(G504:G506),2)</f>
        <v>10.38</v>
      </c>
      <c r="H507" s="9"/>
    </row>
    <row r="508" spans="1:8" ht="60">
      <c r="A508" s="65" t="s">
        <v>309</v>
      </c>
      <c r="B508" s="67" t="s">
        <v>213</v>
      </c>
      <c r="C508" s="66" t="s">
        <v>214</v>
      </c>
      <c r="D508" s="67" t="s">
        <v>10</v>
      </c>
      <c r="E508" s="68">
        <v>175</v>
      </c>
      <c r="F508" s="69">
        <v>17.51</v>
      </c>
      <c r="G508" s="70">
        <f>TRUNC((E508*F508),2)</f>
        <v>3064.25</v>
      </c>
      <c r="H508" s="9">
        <f>TRUNC((F508*1.2338),2)</f>
        <v>21.6</v>
      </c>
    </row>
    <row r="509" spans="1:8" ht="60">
      <c r="A509" s="51" t="s">
        <v>64</v>
      </c>
      <c r="B509" s="52" t="s">
        <v>213</v>
      </c>
      <c r="C509" s="35" t="s">
        <v>214</v>
      </c>
      <c r="D509" s="36" t="s">
        <v>10</v>
      </c>
      <c r="E509" s="71">
        <v>1</v>
      </c>
      <c r="F509" s="37">
        <f>G513</f>
        <v>17.69</v>
      </c>
      <c r="G509" s="38">
        <f>TRUNC(E509*F509,2)</f>
        <v>17.69</v>
      </c>
      <c r="H509" s="9"/>
    </row>
    <row r="510" spans="1:8" ht="30">
      <c r="A510" s="60"/>
      <c r="B510" s="61" t="s">
        <v>561</v>
      </c>
      <c r="C510" s="31" t="s">
        <v>562</v>
      </c>
      <c r="D510" s="32" t="s">
        <v>9</v>
      </c>
      <c r="E510" s="72">
        <v>0.385</v>
      </c>
      <c r="F510" s="33">
        <v>22.05</v>
      </c>
      <c r="G510" s="34">
        <f>TRUNC(E510*F510,2)</f>
        <v>8.48</v>
      </c>
      <c r="H510" s="9"/>
    </row>
    <row r="511" spans="1:8" ht="30">
      <c r="A511" s="60"/>
      <c r="B511" s="61" t="s">
        <v>7</v>
      </c>
      <c r="C511" s="31" t="s">
        <v>8</v>
      </c>
      <c r="D511" s="32" t="s">
        <v>3</v>
      </c>
      <c r="E511" s="72">
        <v>0.26780000000000004</v>
      </c>
      <c r="F511" s="33">
        <f>TRUNC(14.47,2)</f>
        <v>14.47</v>
      </c>
      <c r="G511" s="34">
        <f>TRUNC(E511*F511,2)</f>
        <v>3.87</v>
      </c>
      <c r="H511" s="9"/>
    </row>
    <row r="512" spans="1:8" ht="30">
      <c r="A512" s="60"/>
      <c r="B512" s="61" t="s">
        <v>18</v>
      </c>
      <c r="C512" s="31" t="s">
        <v>19</v>
      </c>
      <c r="D512" s="32" t="s">
        <v>3</v>
      </c>
      <c r="E512" s="72">
        <v>0.26780000000000004</v>
      </c>
      <c r="F512" s="33">
        <f>TRUNC(19.97,2)</f>
        <v>19.97</v>
      </c>
      <c r="G512" s="34">
        <f>TRUNC(E512*F512,2)</f>
        <v>5.34</v>
      </c>
      <c r="H512" s="9"/>
    </row>
    <row r="513" spans="1:8" ht="15">
      <c r="A513" s="60"/>
      <c r="B513" s="61"/>
      <c r="C513" s="31"/>
      <c r="D513" s="32"/>
      <c r="E513" s="72" t="s">
        <v>6</v>
      </c>
      <c r="F513" s="33"/>
      <c r="G513" s="34">
        <f>TRUNC(SUM(G510:G512),2)</f>
        <v>17.69</v>
      </c>
      <c r="H513" s="9"/>
    </row>
    <row r="514" spans="1:8" ht="30">
      <c r="A514" s="65" t="s">
        <v>310</v>
      </c>
      <c r="B514" s="67" t="s">
        <v>91</v>
      </c>
      <c r="C514" s="66" t="s">
        <v>92</v>
      </c>
      <c r="D514" s="67" t="s">
        <v>9</v>
      </c>
      <c r="E514" s="68">
        <v>2</v>
      </c>
      <c r="F514" s="69">
        <v>34.07</v>
      </c>
      <c r="G514" s="70">
        <f>TRUNC((E514*F514),2)</f>
        <v>68.14</v>
      </c>
      <c r="H514" s="9">
        <f>TRUNC((F514*1.2338),2)</f>
        <v>42.03</v>
      </c>
    </row>
    <row r="515" spans="1:8" ht="30">
      <c r="A515" s="51" t="s">
        <v>64</v>
      </c>
      <c r="B515" s="52" t="s">
        <v>596</v>
      </c>
      <c r="C515" s="35" t="s">
        <v>92</v>
      </c>
      <c r="D515" s="36" t="s">
        <v>9</v>
      </c>
      <c r="E515" s="53">
        <v>1</v>
      </c>
      <c r="F515" s="37">
        <f>G519</f>
        <v>33.75</v>
      </c>
      <c r="G515" s="38">
        <f>TRUNC(E515*F515,2)</f>
        <v>33.75</v>
      </c>
      <c r="H515" s="9"/>
    </row>
    <row r="516" spans="1:8" ht="30">
      <c r="A516" s="60"/>
      <c r="B516" s="61" t="s">
        <v>597</v>
      </c>
      <c r="C516" s="31" t="s">
        <v>598</v>
      </c>
      <c r="D516" s="32" t="s">
        <v>9</v>
      </c>
      <c r="E516" s="62">
        <v>1</v>
      </c>
      <c r="F516" s="33">
        <v>16.89</v>
      </c>
      <c r="G516" s="34">
        <f>TRUNC(E516*F516,2)</f>
        <v>16.89</v>
      </c>
      <c r="H516" s="9"/>
    </row>
    <row r="517" spans="1:8" ht="15">
      <c r="A517" s="60"/>
      <c r="B517" s="61" t="s">
        <v>1</v>
      </c>
      <c r="C517" s="31" t="s">
        <v>2</v>
      </c>
      <c r="D517" s="32" t="s">
        <v>3</v>
      </c>
      <c r="E517" s="62">
        <v>0.35</v>
      </c>
      <c r="F517" s="33">
        <f>TRUNC(21.24,2)</f>
        <v>21.24</v>
      </c>
      <c r="G517" s="34">
        <f>TRUNC(E517*F517,2)</f>
        <v>7.43</v>
      </c>
      <c r="H517" s="9"/>
    </row>
    <row r="518" spans="1:8" ht="15">
      <c r="A518" s="60"/>
      <c r="B518" s="61" t="s">
        <v>134</v>
      </c>
      <c r="C518" s="31" t="s">
        <v>93</v>
      </c>
      <c r="D518" s="32" t="s">
        <v>3</v>
      </c>
      <c r="E518" s="62">
        <v>0.35</v>
      </c>
      <c r="F518" s="33">
        <f>TRUNC(26.96,2)</f>
        <v>26.96</v>
      </c>
      <c r="G518" s="34">
        <f>TRUNC(E518*F518,2)</f>
        <v>9.43</v>
      </c>
      <c r="H518" s="9"/>
    </row>
    <row r="519" spans="1:8" ht="15">
      <c r="A519" s="60"/>
      <c r="B519" s="61"/>
      <c r="C519" s="31"/>
      <c r="D519" s="32"/>
      <c r="E519" s="62" t="s">
        <v>6</v>
      </c>
      <c r="F519" s="33"/>
      <c r="G519" s="34">
        <f>TRUNC(SUM(G516:G518),2)</f>
        <v>33.75</v>
      </c>
      <c r="H519" s="9"/>
    </row>
    <row r="520" spans="1:9" ht="30">
      <c r="A520" s="75" t="s">
        <v>311</v>
      </c>
      <c r="B520" s="76" t="s">
        <v>215</v>
      </c>
      <c r="C520" s="77" t="s">
        <v>216</v>
      </c>
      <c r="D520" s="76" t="s">
        <v>10</v>
      </c>
      <c r="E520" s="78">
        <v>2500</v>
      </c>
      <c r="F520" s="79">
        <v>3.94</v>
      </c>
      <c r="G520" s="80">
        <f>TRUNC((E520*F520),2)</f>
        <v>9850</v>
      </c>
      <c r="H520" s="9">
        <f>TRUNC((F520*1.2338),2)</f>
        <v>4.86</v>
      </c>
      <c r="I520" s="1" t="s">
        <v>471</v>
      </c>
    </row>
    <row r="521" spans="1:8" ht="30">
      <c r="A521" s="60" t="s">
        <v>64</v>
      </c>
      <c r="B521" s="61" t="s">
        <v>215</v>
      </c>
      <c r="C521" s="31" t="s">
        <v>216</v>
      </c>
      <c r="D521" s="32" t="s">
        <v>10</v>
      </c>
      <c r="E521" s="62">
        <v>1</v>
      </c>
      <c r="F521" s="33">
        <f>G526</f>
        <v>5</v>
      </c>
      <c r="G521" s="34">
        <f>TRUNC(E521*F521,2)</f>
        <v>5</v>
      </c>
      <c r="H521" s="9"/>
    </row>
    <row r="522" spans="1:8" ht="15">
      <c r="A522" s="60"/>
      <c r="B522" s="61" t="s">
        <v>217</v>
      </c>
      <c r="C522" s="31" t="s">
        <v>218</v>
      </c>
      <c r="D522" s="32" t="s">
        <v>9</v>
      </c>
      <c r="E522" s="62">
        <v>0.009</v>
      </c>
      <c r="F522" s="33">
        <v>4.34</v>
      </c>
      <c r="G522" s="34">
        <f>TRUNC(E522*F522,2)</f>
        <v>0.03</v>
      </c>
      <c r="H522" s="9"/>
    </row>
    <row r="523" spans="1:8" ht="30">
      <c r="A523" s="60"/>
      <c r="B523" s="61" t="s">
        <v>219</v>
      </c>
      <c r="C523" s="31" t="s">
        <v>220</v>
      </c>
      <c r="D523" s="32" t="s">
        <v>10</v>
      </c>
      <c r="E523" s="62">
        <v>1.19</v>
      </c>
      <c r="F523" s="33">
        <v>2.58</v>
      </c>
      <c r="G523" s="34">
        <f>TRUNC(E523*F523,2)</f>
        <v>3.07</v>
      </c>
      <c r="H523" s="9"/>
    </row>
    <row r="524" spans="1:8" ht="15">
      <c r="A524" s="60"/>
      <c r="B524" s="61" t="s">
        <v>134</v>
      </c>
      <c r="C524" s="31" t="s">
        <v>93</v>
      </c>
      <c r="D524" s="32" t="s">
        <v>3</v>
      </c>
      <c r="E524" s="62">
        <v>0.04</v>
      </c>
      <c r="F524" s="33">
        <f>TRUNC(26.96,2)</f>
        <v>26.96</v>
      </c>
      <c r="G524" s="34">
        <f>TRUNC(E524*F524,2)</f>
        <v>1.07</v>
      </c>
      <c r="H524" s="9"/>
    </row>
    <row r="525" spans="1:8" ht="15">
      <c r="A525" s="60"/>
      <c r="B525" s="61" t="s">
        <v>178</v>
      </c>
      <c r="C525" s="31" t="s">
        <v>179</v>
      </c>
      <c r="D525" s="32" t="s">
        <v>3</v>
      </c>
      <c r="E525" s="62">
        <v>0.04</v>
      </c>
      <c r="F525" s="33">
        <f>TRUNC(20.98,2)</f>
        <v>20.98</v>
      </c>
      <c r="G525" s="34">
        <f>TRUNC(E525*F525,2)</f>
        <v>0.83</v>
      </c>
      <c r="H525" s="9"/>
    </row>
    <row r="526" spans="1:8" ht="15">
      <c r="A526" s="60"/>
      <c r="B526" s="61"/>
      <c r="C526" s="31"/>
      <c r="D526" s="32"/>
      <c r="E526" s="62" t="s">
        <v>6</v>
      </c>
      <c r="F526" s="33"/>
      <c r="G526" s="34">
        <f>TRUNC(SUM(G522:G525),2)</f>
        <v>5</v>
      </c>
      <c r="H526" s="9"/>
    </row>
    <row r="527" spans="1:9" ht="30">
      <c r="A527" s="75" t="s">
        <v>312</v>
      </c>
      <c r="B527" s="76" t="s">
        <v>221</v>
      </c>
      <c r="C527" s="77" t="s">
        <v>222</v>
      </c>
      <c r="D527" s="76" t="s">
        <v>10</v>
      </c>
      <c r="E527" s="78">
        <v>285</v>
      </c>
      <c r="F527" s="79">
        <v>5.34</v>
      </c>
      <c r="G527" s="80">
        <f>TRUNC((E527*F527),2)</f>
        <v>1521.9</v>
      </c>
      <c r="H527" s="9">
        <f>TRUNC((F527*1.2338),2)</f>
        <v>6.58</v>
      </c>
      <c r="I527" s="1" t="s">
        <v>471</v>
      </c>
    </row>
    <row r="528" spans="1:8" ht="30">
      <c r="A528" s="60" t="s">
        <v>64</v>
      </c>
      <c r="B528" s="61" t="s">
        <v>221</v>
      </c>
      <c r="C528" s="31" t="s">
        <v>222</v>
      </c>
      <c r="D528" s="32" t="s">
        <v>10</v>
      </c>
      <c r="E528" s="62">
        <v>1</v>
      </c>
      <c r="F528" s="33">
        <f>G533</f>
        <v>6.82</v>
      </c>
      <c r="G528" s="34">
        <f>TRUNC(E528*F528,2)</f>
        <v>6.82</v>
      </c>
      <c r="H528" s="9"/>
    </row>
    <row r="529" spans="1:8" ht="15">
      <c r="A529" s="60"/>
      <c r="B529" s="61" t="s">
        <v>217</v>
      </c>
      <c r="C529" s="31" t="s">
        <v>218</v>
      </c>
      <c r="D529" s="32" t="s">
        <v>9</v>
      </c>
      <c r="E529" s="62">
        <v>0.009</v>
      </c>
      <c r="F529" s="33">
        <v>4.34</v>
      </c>
      <c r="G529" s="34">
        <f>TRUNC(E529*F529,2)</f>
        <v>0.03</v>
      </c>
      <c r="H529" s="9"/>
    </row>
    <row r="530" spans="1:8" ht="30">
      <c r="A530" s="60"/>
      <c r="B530" s="61" t="s">
        <v>223</v>
      </c>
      <c r="C530" s="31" t="s">
        <v>224</v>
      </c>
      <c r="D530" s="32" t="s">
        <v>10</v>
      </c>
      <c r="E530" s="62">
        <v>1.19</v>
      </c>
      <c r="F530" s="33">
        <v>3.62</v>
      </c>
      <c r="G530" s="34">
        <f>TRUNC(E530*F530,2)</f>
        <v>4.3</v>
      </c>
      <c r="H530" s="9"/>
    </row>
    <row r="531" spans="1:8" ht="15">
      <c r="A531" s="60"/>
      <c r="B531" s="61" t="s">
        <v>134</v>
      </c>
      <c r="C531" s="31" t="s">
        <v>93</v>
      </c>
      <c r="D531" s="32" t="s">
        <v>3</v>
      </c>
      <c r="E531" s="62">
        <v>0.052</v>
      </c>
      <c r="F531" s="33">
        <f>TRUNC(26.96,2)</f>
        <v>26.96</v>
      </c>
      <c r="G531" s="34">
        <f>TRUNC(E531*F531,2)</f>
        <v>1.4</v>
      </c>
      <c r="H531" s="9"/>
    </row>
    <row r="532" spans="1:8" ht="15">
      <c r="A532" s="60"/>
      <c r="B532" s="61" t="s">
        <v>178</v>
      </c>
      <c r="C532" s="31" t="s">
        <v>179</v>
      </c>
      <c r="D532" s="32" t="s">
        <v>3</v>
      </c>
      <c r="E532" s="62">
        <v>0.052</v>
      </c>
      <c r="F532" s="33">
        <f>TRUNC(20.98,2)</f>
        <v>20.98</v>
      </c>
      <c r="G532" s="34">
        <f>TRUNC(E532*F532,2)</f>
        <v>1.09</v>
      </c>
      <c r="H532" s="9"/>
    </row>
    <row r="533" spans="1:8" ht="15">
      <c r="A533" s="60"/>
      <c r="B533" s="61"/>
      <c r="C533" s="31"/>
      <c r="D533" s="32"/>
      <c r="E533" s="62" t="s">
        <v>6</v>
      </c>
      <c r="F533" s="33"/>
      <c r="G533" s="34">
        <f>TRUNC(SUM(G529:G532),2)</f>
        <v>6.82</v>
      </c>
      <c r="H533" s="9"/>
    </row>
    <row r="534" spans="1:9" ht="30">
      <c r="A534" s="75" t="s">
        <v>313</v>
      </c>
      <c r="B534" s="76" t="s">
        <v>225</v>
      </c>
      <c r="C534" s="77" t="s">
        <v>226</v>
      </c>
      <c r="D534" s="76" t="s">
        <v>10</v>
      </c>
      <c r="E534" s="78">
        <v>16</v>
      </c>
      <c r="F534" s="79">
        <v>8.68</v>
      </c>
      <c r="G534" s="80">
        <f>TRUNC((E534*F534),2)</f>
        <v>138.88</v>
      </c>
      <c r="H534" s="9">
        <f>TRUNC((F534*1.2338),2)</f>
        <v>10.7</v>
      </c>
      <c r="I534" s="1" t="s">
        <v>471</v>
      </c>
    </row>
    <row r="535" spans="1:7" s="74" customFormat="1" ht="30">
      <c r="A535" s="60"/>
      <c r="B535" s="61" t="s">
        <v>225</v>
      </c>
      <c r="C535" s="31" t="s">
        <v>226</v>
      </c>
      <c r="D535" s="32" t="s">
        <v>10</v>
      </c>
      <c r="E535" s="62">
        <v>1</v>
      </c>
      <c r="F535" s="33">
        <f>G540</f>
        <v>11.06</v>
      </c>
      <c r="G535" s="34">
        <f>TRUNC(E535*F535,2)</f>
        <v>11.06</v>
      </c>
    </row>
    <row r="536" spans="1:7" s="74" customFormat="1" ht="15">
      <c r="A536" s="60"/>
      <c r="B536" s="61" t="s">
        <v>217</v>
      </c>
      <c r="C536" s="31" t="s">
        <v>218</v>
      </c>
      <c r="D536" s="32" t="s">
        <v>9</v>
      </c>
      <c r="E536" s="62">
        <v>0.009</v>
      </c>
      <c r="F536" s="33">
        <v>4.34</v>
      </c>
      <c r="G536" s="34">
        <f>TRUNC(E536*F536,2)</f>
        <v>0.03</v>
      </c>
    </row>
    <row r="537" spans="1:7" s="74" customFormat="1" ht="30">
      <c r="A537" s="60"/>
      <c r="B537" s="61" t="s">
        <v>599</v>
      </c>
      <c r="C537" s="31" t="s">
        <v>600</v>
      </c>
      <c r="D537" s="32" t="s">
        <v>10</v>
      </c>
      <c r="E537" s="62">
        <v>1.19</v>
      </c>
      <c r="F537" s="33">
        <v>6.18</v>
      </c>
      <c r="G537" s="34">
        <f>TRUNC(E537*F537,2)</f>
        <v>7.35</v>
      </c>
    </row>
    <row r="538" spans="1:7" s="74" customFormat="1" ht="15">
      <c r="A538" s="60"/>
      <c r="B538" s="61" t="s">
        <v>134</v>
      </c>
      <c r="C538" s="31" t="s">
        <v>93</v>
      </c>
      <c r="D538" s="32" t="s">
        <v>3</v>
      </c>
      <c r="E538" s="62">
        <v>0.077</v>
      </c>
      <c r="F538" s="33">
        <f>TRUNC(26.96,2)</f>
        <v>26.96</v>
      </c>
      <c r="G538" s="34">
        <f>TRUNC(E538*F538,2)</f>
        <v>2.07</v>
      </c>
    </row>
    <row r="539" spans="1:7" s="74" customFormat="1" ht="15">
      <c r="A539" s="60"/>
      <c r="B539" s="61" t="s">
        <v>178</v>
      </c>
      <c r="C539" s="31" t="s">
        <v>179</v>
      </c>
      <c r="D539" s="32" t="s">
        <v>3</v>
      </c>
      <c r="E539" s="62">
        <v>0.077</v>
      </c>
      <c r="F539" s="33">
        <f>TRUNC(20.98,2)</f>
        <v>20.98</v>
      </c>
      <c r="G539" s="34">
        <f>TRUNC(E539*F539,2)</f>
        <v>1.61</v>
      </c>
    </row>
    <row r="540" spans="1:7" s="74" customFormat="1" ht="15">
      <c r="A540" s="60"/>
      <c r="B540" s="61"/>
      <c r="C540" s="31"/>
      <c r="D540" s="32"/>
      <c r="E540" s="62" t="s">
        <v>6</v>
      </c>
      <c r="F540" s="33"/>
      <c r="G540" s="34">
        <f>TRUNC(SUM(G536:G539),2)</f>
        <v>11.06</v>
      </c>
    </row>
    <row r="541" spans="1:9" ht="30">
      <c r="A541" s="75" t="s">
        <v>314</v>
      </c>
      <c r="B541" s="76" t="s">
        <v>292</v>
      </c>
      <c r="C541" s="77" t="s">
        <v>601</v>
      </c>
      <c r="D541" s="76" t="s">
        <v>10</v>
      </c>
      <c r="E541" s="78">
        <v>16</v>
      </c>
      <c r="F541" s="79">
        <v>13.23</v>
      </c>
      <c r="G541" s="80">
        <f>TRUNC((E541*F541),2)</f>
        <v>211.68</v>
      </c>
      <c r="H541" s="9">
        <f>TRUNC((F541*1.2338),2)</f>
        <v>16.32</v>
      </c>
      <c r="I541" s="1" t="s">
        <v>471</v>
      </c>
    </row>
    <row r="542" spans="1:7" s="74" customFormat="1" ht="30">
      <c r="A542" s="60"/>
      <c r="B542" s="61" t="s">
        <v>781</v>
      </c>
      <c r="C542" s="31" t="s">
        <v>601</v>
      </c>
      <c r="D542" s="32" t="s">
        <v>10</v>
      </c>
      <c r="E542" s="62">
        <v>1</v>
      </c>
      <c r="F542" s="33">
        <f>TRUNC(16.89286,2)</f>
        <v>16.89</v>
      </c>
      <c r="G542" s="34">
        <f>TRUNC(E542*F542,2)</f>
        <v>16.89</v>
      </c>
    </row>
    <row r="543" spans="1:9" ht="30">
      <c r="A543" s="75" t="s">
        <v>315</v>
      </c>
      <c r="B543" s="76" t="s">
        <v>293</v>
      </c>
      <c r="C543" s="77" t="s">
        <v>602</v>
      </c>
      <c r="D543" s="76" t="s">
        <v>10</v>
      </c>
      <c r="E543" s="78">
        <v>10</v>
      </c>
      <c r="F543" s="79">
        <v>14.51</v>
      </c>
      <c r="G543" s="80">
        <f>TRUNC((E543*F543),2)</f>
        <v>145.1</v>
      </c>
      <c r="H543" s="9">
        <f>TRUNC((F543*1.2338),2)</f>
        <v>17.9</v>
      </c>
      <c r="I543" s="1" t="s">
        <v>471</v>
      </c>
    </row>
    <row r="544" spans="1:7" s="74" customFormat="1" ht="30">
      <c r="A544" s="60"/>
      <c r="B544" s="61" t="s">
        <v>782</v>
      </c>
      <c r="C544" s="31" t="s">
        <v>602</v>
      </c>
      <c r="D544" s="32" t="s">
        <v>10</v>
      </c>
      <c r="E544" s="62">
        <v>1</v>
      </c>
      <c r="F544" s="33">
        <f>TRUNC(18.62657,2)</f>
        <v>18.62</v>
      </c>
      <c r="G544" s="34">
        <f>TRUNC(E544*F544,2)</f>
        <v>18.62</v>
      </c>
    </row>
    <row r="545" spans="1:9" ht="30">
      <c r="A545" s="75" t="s">
        <v>316</v>
      </c>
      <c r="B545" s="76" t="s">
        <v>227</v>
      </c>
      <c r="C545" s="77" t="s">
        <v>228</v>
      </c>
      <c r="D545" s="76" t="s">
        <v>10</v>
      </c>
      <c r="E545" s="78">
        <v>145</v>
      </c>
      <c r="F545" s="79">
        <v>19.36</v>
      </c>
      <c r="G545" s="80">
        <f>TRUNC((E545*F545),2)</f>
        <v>2807.2</v>
      </c>
      <c r="H545" s="9">
        <f>TRUNC((F545*1.2338),2)</f>
        <v>23.88</v>
      </c>
      <c r="I545" s="1" t="s">
        <v>471</v>
      </c>
    </row>
    <row r="546" spans="1:7" s="74" customFormat="1" ht="30">
      <c r="A546" s="60"/>
      <c r="B546" s="61" t="s">
        <v>227</v>
      </c>
      <c r="C546" s="31" t="s">
        <v>228</v>
      </c>
      <c r="D546" s="32" t="s">
        <v>10</v>
      </c>
      <c r="E546" s="62">
        <v>1</v>
      </c>
      <c r="F546" s="33">
        <f>TRUNC(24.87398,2)</f>
        <v>24.87</v>
      </c>
      <c r="G546" s="34">
        <f>TRUNC(E546*F546,2)</f>
        <v>24.87</v>
      </c>
    </row>
    <row r="547" spans="1:9" ht="30">
      <c r="A547" s="75" t="s">
        <v>317</v>
      </c>
      <c r="B547" s="76" t="s">
        <v>229</v>
      </c>
      <c r="C547" s="77" t="s">
        <v>230</v>
      </c>
      <c r="D547" s="76" t="s">
        <v>10</v>
      </c>
      <c r="E547" s="78">
        <v>700</v>
      </c>
      <c r="F547" s="79">
        <v>49.71</v>
      </c>
      <c r="G547" s="80">
        <f>TRUNC((E547*F547),2)</f>
        <v>34797</v>
      </c>
      <c r="H547" s="9">
        <f>TRUNC((F547*1.2338),2)</f>
        <v>61.33</v>
      </c>
      <c r="I547" s="1" t="s">
        <v>471</v>
      </c>
    </row>
    <row r="548" spans="1:7" s="74" customFormat="1" ht="30">
      <c r="A548" s="60"/>
      <c r="B548" s="61" t="s">
        <v>229</v>
      </c>
      <c r="C548" s="31" t="s">
        <v>230</v>
      </c>
      <c r="D548" s="32" t="s">
        <v>10</v>
      </c>
      <c r="E548" s="62">
        <v>1</v>
      </c>
      <c r="F548" s="33">
        <f>TRUNC(63.94918,2)</f>
        <v>63.94</v>
      </c>
      <c r="G548" s="34">
        <f>TRUNC(E548*F548,2)</f>
        <v>63.94</v>
      </c>
    </row>
    <row r="549" spans="1:8" ht="30">
      <c r="A549" s="65" t="s">
        <v>318</v>
      </c>
      <c r="B549" s="67" t="s">
        <v>98</v>
      </c>
      <c r="C549" s="66" t="s">
        <v>231</v>
      </c>
      <c r="D549" s="28" t="s">
        <v>9</v>
      </c>
      <c r="E549" s="68">
        <v>6</v>
      </c>
      <c r="F549" s="69">
        <v>184.46</v>
      </c>
      <c r="G549" s="70">
        <f>TRUNC((E549*F549),2)</f>
        <v>1106.76</v>
      </c>
      <c r="H549" s="9">
        <f>TRUNC((F549*1.2338),2)</f>
        <v>227.58</v>
      </c>
    </row>
    <row r="550" spans="1:8" ht="15">
      <c r="A550" s="51" t="s">
        <v>64</v>
      </c>
      <c r="B550" s="209" t="s">
        <v>773</v>
      </c>
      <c r="C550" s="35" t="s">
        <v>542</v>
      </c>
      <c r="D550" s="36" t="s">
        <v>9</v>
      </c>
      <c r="E550" s="53">
        <v>1</v>
      </c>
      <c r="F550" s="37">
        <f>G561</f>
        <v>183.77</v>
      </c>
      <c r="G550" s="38">
        <f aca="true" t="shared" si="21" ref="G550:G560">TRUNC(E550*F550,2)</f>
        <v>183.77</v>
      </c>
      <c r="H550" s="9"/>
    </row>
    <row r="551" spans="1:8" ht="15">
      <c r="A551" s="60"/>
      <c r="B551" s="211" t="s">
        <v>774</v>
      </c>
      <c r="C551" s="31" t="s">
        <v>543</v>
      </c>
      <c r="D551" s="32" t="s">
        <v>9</v>
      </c>
      <c r="E551" s="62">
        <v>60.48</v>
      </c>
      <c r="F551" s="33">
        <v>0.25</v>
      </c>
      <c r="G551" s="34">
        <f t="shared" si="21"/>
        <v>15.12</v>
      </c>
      <c r="H551" s="9"/>
    </row>
    <row r="552" spans="1:8" ht="30">
      <c r="A552" s="60"/>
      <c r="B552" s="211" t="s">
        <v>775</v>
      </c>
      <c r="C552" s="31" t="s">
        <v>544</v>
      </c>
      <c r="D552" s="32" t="s">
        <v>11</v>
      </c>
      <c r="E552" s="62">
        <v>0.004</v>
      </c>
      <c r="F552" s="33">
        <v>62.5</v>
      </c>
      <c r="G552" s="34">
        <f t="shared" si="21"/>
        <v>0.25</v>
      </c>
      <c r="H552" s="9"/>
    </row>
    <row r="553" spans="1:8" ht="30">
      <c r="A553" s="60"/>
      <c r="B553" s="211" t="s">
        <v>182</v>
      </c>
      <c r="C553" s="31" t="s">
        <v>99</v>
      </c>
      <c r="D553" s="32" t="s">
        <v>11</v>
      </c>
      <c r="E553" s="62">
        <v>0.0365</v>
      </c>
      <c r="F553" s="33">
        <v>62.5</v>
      </c>
      <c r="G553" s="34">
        <f t="shared" si="21"/>
        <v>2.28</v>
      </c>
      <c r="H553" s="9"/>
    </row>
    <row r="554" spans="1:8" ht="15">
      <c r="A554" s="60"/>
      <c r="B554" s="211" t="s">
        <v>175</v>
      </c>
      <c r="C554" s="31" t="s">
        <v>100</v>
      </c>
      <c r="D554" s="32" t="s">
        <v>17</v>
      </c>
      <c r="E554" s="62">
        <v>18.5084</v>
      </c>
      <c r="F554" s="33">
        <v>0.41</v>
      </c>
      <c r="G554" s="34">
        <f t="shared" si="21"/>
        <v>7.58</v>
      </c>
      <c r="H554" s="9"/>
    </row>
    <row r="555" spans="1:8" ht="30">
      <c r="A555" s="60"/>
      <c r="B555" s="211" t="s">
        <v>776</v>
      </c>
      <c r="C555" s="31" t="s">
        <v>545</v>
      </c>
      <c r="D555" s="32" t="s">
        <v>0</v>
      </c>
      <c r="E555" s="62">
        <v>0.06</v>
      </c>
      <c r="F555" s="33">
        <v>31.57</v>
      </c>
      <c r="G555" s="34">
        <f t="shared" si="21"/>
        <v>1.89</v>
      </c>
      <c r="H555" s="9"/>
    </row>
    <row r="556" spans="1:8" ht="15">
      <c r="A556" s="60"/>
      <c r="B556" s="211" t="s">
        <v>777</v>
      </c>
      <c r="C556" s="31" t="s">
        <v>546</v>
      </c>
      <c r="D556" s="32" t="s">
        <v>17</v>
      </c>
      <c r="E556" s="62">
        <v>3.0096</v>
      </c>
      <c r="F556" s="33">
        <v>0.76</v>
      </c>
      <c r="G556" s="34">
        <f t="shared" si="21"/>
        <v>2.28</v>
      </c>
      <c r="H556" s="9"/>
    </row>
    <row r="557" spans="1:8" ht="30">
      <c r="A557" s="60"/>
      <c r="B557" s="211" t="s">
        <v>22</v>
      </c>
      <c r="C557" s="31" t="s">
        <v>23</v>
      </c>
      <c r="D557" s="32" t="s">
        <v>11</v>
      </c>
      <c r="E557" s="62">
        <v>0.0653</v>
      </c>
      <c r="F557" s="33">
        <v>51.43</v>
      </c>
      <c r="G557" s="34">
        <f t="shared" si="21"/>
        <v>3.35</v>
      </c>
      <c r="H557" s="9"/>
    </row>
    <row r="558" spans="1:8" ht="15">
      <c r="A558" s="60"/>
      <c r="B558" s="211" t="s">
        <v>778</v>
      </c>
      <c r="C558" s="31" t="s">
        <v>101</v>
      </c>
      <c r="D558" s="32" t="s">
        <v>17</v>
      </c>
      <c r="E558" s="62">
        <v>2.156</v>
      </c>
      <c r="F558" s="33">
        <v>4.9</v>
      </c>
      <c r="G558" s="34">
        <f t="shared" si="21"/>
        <v>10.56</v>
      </c>
      <c r="H558" s="9"/>
    </row>
    <row r="559" spans="1:8" ht="15">
      <c r="A559" s="60"/>
      <c r="B559" s="211" t="s">
        <v>1</v>
      </c>
      <c r="C559" s="31" t="s">
        <v>2</v>
      </c>
      <c r="D559" s="32" t="s">
        <v>3</v>
      </c>
      <c r="E559" s="62">
        <v>4.4832</v>
      </c>
      <c r="F559" s="33">
        <f>TRUNC(21.24,2)</f>
        <v>21.24</v>
      </c>
      <c r="G559" s="34">
        <f t="shared" si="21"/>
        <v>95.22</v>
      </c>
      <c r="H559" s="9"/>
    </row>
    <row r="560" spans="1:8" ht="15">
      <c r="A560" s="60"/>
      <c r="B560" s="211" t="s">
        <v>166</v>
      </c>
      <c r="C560" s="31" t="s">
        <v>53</v>
      </c>
      <c r="D560" s="32" t="s">
        <v>3</v>
      </c>
      <c r="E560" s="62">
        <v>1.6789</v>
      </c>
      <c r="F560" s="33">
        <f>TRUNC(26.95,2)</f>
        <v>26.95</v>
      </c>
      <c r="G560" s="34">
        <f t="shared" si="21"/>
        <v>45.24</v>
      </c>
      <c r="H560" s="9"/>
    </row>
    <row r="561" spans="1:8" ht="15">
      <c r="A561" s="60"/>
      <c r="B561" s="211"/>
      <c r="C561" s="31"/>
      <c r="D561" s="32"/>
      <c r="E561" s="62" t="s">
        <v>6</v>
      </c>
      <c r="F561" s="33"/>
      <c r="G561" s="34">
        <f>TRUNC(SUM(G551:G560),2)</f>
        <v>183.77</v>
      </c>
      <c r="H561" s="9"/>
    </row>
    <row r="562" spans="1:8" s="9" customFormat="1" ht="30">
      <c r="A562" s="75" t="s">
        <v>319</v>
      </c>
      <c r="B562" s="76" t="s">
        <v>876</v>
      </c>
      <c r="C562" s="77" t="s">
        <v>271</v>
      </c>
      <c r="D562" s="76" t="s">
        <v>9</v>
      </c>
      <c r="E562" s="78">
        <v>5</v>
      </c>
      <c r="F562" s="79">
        <v>17.66</v>
      </c>
      <c r="G562" s="80">
        <f>TRUNC((E562*F562),2)</f>
        <v>88.3</v>
      </c>
      <c r="H562" s="9">
        <f>TRUNC((F562*1.2338),2)</f>
        <v>21.78</v>
      </c>
    </row>
    <row r="563" spans="1:8" ht="30">
      <c r="A563" s="60" t="s">
        <v>64</v>
      </c>
      <c r="B563" s="61" t="s">
        <v>233</v>
      </c>
      <c r="C563" s="31" t="s">
        <v>603</v>
      </c>
      <c r="D563" s="32" t="s">
        <v>9</v>
      </c>
      <c r="E563" s="62">
        <v>1</v>
      </c>
      <c r="F563" s="33">
        <f>G567</f>
        <v>17.57</v>
      </c>
      <c r="G563" s="34">
        <f>TRUNC(E563*F563,2)</f>
        <v>17.57</v>
      </c>
      <c r="H563" s="9"/>
    </row>
    <row r="564" spans="1:7" s="9" customFormat="1" ht="31.5">
      <c r="A564" s="54"/>
      <c r="B564" s="105" t="s">
        <v>604</v>
      </c>
      <c r="C564" s="55" t="s">
        <v>605</v>
      </c>
      <c r="D564" s="56" t="s">
        <v>9</v>
      </c>
      <c r="E564" s="132">
        <v>1</v>
      </c>
      <c r="F564" s="57">
        <v>3.2</v>
      </c>
      <c r="G564" s="58">
        <f>TRUNC(E564*F564,2)</f>
        <v>3.2</v>
      </c>
    </row>
    <row r="565" spans="1:8" ht="15">
      <c r="A565" s="60"/>
      <c r="B565" s="61" t="s">
        <v>134</v>
      </c>
      <c r="C565" s="31" t="s">
        <v>93</v>
      </c>
      <c r="D565" s="32" t="s">
        <v>3</v>
      </c>
      <c r="E565" s="62">
        <v>0.3</v>
      </c>
      <c r="F565" s="33">
        <f>TRUNC(26.96,2)</f>
        <v>26.96</v>
      </c>
      <c r="G565" s="34">
        <f>TRUNC(E565*F565,2)</f>
        <v>8.08</v>
      </c>
      <c r="H565" s="9"/>
    </row>
    <row r="566" spans="1:8" ht="15">
      <c r="A566" s="60"/>
      <c r="B566" s="61" t="s">
        <v>178</v>
      </c>
      <c r="C566" s="31" t="s">
        <v>179</v>
      </c>
      <c r="D566" s="32" t="s">
        <v>3</v>
      </c>
      <c r="E566" s="62">
        <v>0.3</v>
      </c>
      <c r="F566" s="33">
        <f>TRUNC(20.98,2)</f>
        <v>20.98</v>
      </c>
      <c r="G566" s="34">
        <f>TRUNC(E566*F566,2)</f>
        <v>6.29</v>
      </c>
      <c r="H566" s="9"/>
    </row>
    <row r="567" spans="1:8" ht="15">
      <c r="A567" s="60"/>
      <c r="B567" s="61"/>
      <c r="C567" s="31"/>
      <c r="D567" s="32"/>
      <c r="E567" s="62" t="s">
        <v>6</v>
      </c>
      <c r="F567" s="33"/>
      <c r="G567" s="34">
        <f>TRUNC(SUM(G564:G566),2)</f>
        <v>17.57</v>
      </c>
      <c r="H567" s="9"/>
    </row>
    <row r="568" spans="1:8" ht="30">
      <c r="A568" s="75" t="s">
        <v>320</v>
      </c>
      <c r="B568" s="76" t="s">
        <v>877</v>
      </c>
      <c r="C568" s="77" t="s">
        <v>235</v>
      </c>
      <c r="D568" s="76" t="s">
        <v>9</v>
      </c>
      <c r="E568" s="78">
        <v>5</v>
      </c>
      <c r="F568" s="79">
        <v>18.51</v>
      </c>
      <c r="G568" s="80">
        <f>TRUNC((E568*F568),2)</f>
        <v>92.55</v>
      </c>
      <c r="H568" s="9">
        <f>TRUNC((F568*1.2338),2)</f>
        <v>22.83</v>
      </c>
    </row>
    <row r="569" spans="1:8" ht="30">
      <c r="A569" s="60" t="s">
        <v>64</v>
      </c>
      <c r="B569" s="61" t="s">
        <v>234</v>
      </c>
      <c r="C569" s="31" t="s">
        <v>235</v>
      </c>
      <c r="D569" s="32" t="s">
        <v>9</v>
      </c>
      <c r="E569" s="62">
        <v>1</v>
      </c>
      <c r="F569" s="33">
        <f>G573</f>
        <v>18.52</v>
      </c>
      <c r="G569" s="34">
        <f>TRUNC(E569*F569,2)</f>
        <v>18.52</v>
      </c>
      <c r="H569" s="9"/>
    </row>
    <row r="570" spans="1:8" ht="30">
      <c r="A570" s="60"/>
      <c r="B570" s="61" t="s">
        <v>606</v>
      </c>
      <c r="C570" s="31" t="s">
        <v>607</v>
      </c>
      <c r="D570" s="32" t="s">
        <v>9</v>
      </c>
      <c r="E570" s="62">
        <v>1</v>
      </c>
      <c r="F570" s="33">
        <v>4.15</v>
      </c>
      <c r="G570" s="34">
        <f>TRUNC(E570*F570,2)</f>
        <v>4.15</v>
      </c>
      <c r="H570" s="9"/>
    </row>
    <row r="571" spans="1:8" ht="15">
      <c r="A571" s="60"/>
      <c r="B571" s="61" t="s">
        <v>134</v>
      </c>
      <c r="C571" s="31" t="s">
        <v>93</v>
      </c>
      <c r="D571" s="32" t="s">
        <v>3</v>
      </c>
      <c r="E571" s="62">
        <v>0.3</v>
      </c>
      <c r="F571" s="33">
        <f>TRUNC(26.96,2)</f>
        <v>26.96</v>
      </c>
      <c r="G571" s="34">
        <f>TRUNC(E571*F571,2)</f>
        <v>8.08</v>
      </c>
      <c r="H571" s="9"/>
    </row>
    <row r="572" spans="1:8" ht="15">
      <c r="A572" s="60"/>
      <c r="B572" s="61" t="s">
        <v>178</v>
      </c>
      <c r="C572" s="31" t="s">
        <v>179</v>
      </c>
      <c r="D572" s="32" t="s">
        <v>3</v>
      </c>
      <c r="E572" s="62">
        <v>0.3</v>
      </c>
      <c r="F572" s="33">
        <f>TRUNC(20.98,2)</f>
        <v>20.98</v>
      </c>
      <c r="G572" s="34">
        <f>TRUNC(E572*F572,2)</f>
        <v>6.29</v>
      </c>
      <c r="H572" s="9"/>
    </row>
    <row r="573" spans="1:8" ht="15">
      <c r="A573" s="60"/>
      <c r="B573" s="61"/>
      <c r="C573" s="31"/>
      <c r="D573" s="32"/>
      <c r="E573" s="62" t="s">
        <v>6</v>
      </c>
      <c r="F573" s="33"/>
      <c r="G573" s="34">
        <f>TRUNC(SUM(G570:G572),2)</f>
        <v>18.52</v>
      </c>
      <c r="H573" s="9"/>
    </row>
    <row r="574" spans="1:8" ht="30">
      <c r="A574" s="75" t="s">
        <v>321</v>
      </c>
      <c r="B574" s="76" t="s">
        <v>878</v>
      </c>
      <c r="C574" s="77" t="s">
        <v>237</v>
      </c>
      <c r="D574" s="76" t="s">
        <v>9</v>
      </c>
      <c r="E574" s="78">
        <v>24</v>
      </c>
      <c r="F574" s="79">
        <v>29.39</v>
      </c>
      <c r="G574" s="80">
        <f>TRUNC((E574*F574),2)</f>
        <v>705.36</v>
      </c>
      <c r="H574" s="9">
        <f>TRUNC((F574*1.2338),2)</f>
        <v>36.26</v>
      </c>
    </row>
    <row r="575" spans="1:8" ht="30">
      <c r="A575" s="60" t="s">
        <v>64</v>
      </c>
      <c r="B575" s="61" t="s">
        <v>236</v>
      </c>
      <c r="C575" s="31" t="s">
        <v>237</v>
      </c>
      <c r="D575" s="32" t="s">
        <v>9</v>
      </c>
      <c r="E575" s="62">
        <v>1</v>
      </c>
      <c r="F575" s="33">
        <f>G579</f>
        <v>29.52</v>
      </c>
      <c r="G575" s="34">
        <f>TRUNC(E575*F575,2)</f>
        <v>29.52</v>
      </c>
      <c r="H575" s="9"/>
    </row>
    <row r="576" spans="1:8" ht="30">
      <c r="A576" s="60"/>
      <c r="B576" s="61" t="s">
        <v>608</v>
      </c>
      <c r="C576" s="31" t="s">
        <v>609</v>
      </c>
      <c r="D576" s="32" t="s">
        <v>9</v>
      </c>
      <c r="E576" s="62">
        <v>1</v>
      </c>
      <c r="F576" s="33">
        <v>10.35</v>
      </c>
      <c r="G576" s="34">
        <f>TRUNC(E576*F576,2)</f>
        <v>10.35</v>
      </c>
      <c r="H576" s="9"/>
    </row>
    <row r="577" spans="1:8" ht="15">
      <c r="A577" s="60"/>
      <c r="B577" s="61" t="s">
        <v>134</v>
      </c>
      <c r="C577" s="31" t="s">
        <v>93</v>
      </c>
      <c r="D577" s="32" t="s">
        <v>3</v>
      </c>
      <c r="E577" s="62">
        <v>0.4</v>
      </c>
      <c r="F577" s="33">
        <f>TRUNC(26.96,2)</f>
        <v>26.96</v>
      </c>
      <c r="G577" s="34">
        <f>TRUNC(E577*F577,2)</f>
        <v>10.78</v>
      </c>
      <c r="H577" s="9"/>
    </row>
    <row r="578" spans="1:8" ht="15">
      <c r="A578" s="60"/>
      <c r="B578" s="61" t="s">
        <v>178</v>
      </c>
      <c r="C578" s="31" t="s">
        <v>179</v>
      </c>
      <c r="D578" s="32" t="s">
        <v>3</v>
      </c>
      <c r="E578" s="62">
        <v>0.4</v>
      </c>
      <c r="F578" s="33">
        <f>TRUNC(20.98,2)</f>
        <v>20.98</v>
      </c>
      <c r="G578" s="34">
        <f>TRUNC(E578*F578,2)</f>
        <v>8.39</v>
      </c>
      <c r="H578" s="9"/>
    </row>
    <row r="579" spans="1:8" ht="15">
      <c r="A579" s="60"/>
      <c r="B579" s="61"/>
      <c r="C579" s="31"/>
      <c r="D579" s="32"/>
      <c r="E579" s="62" t="s">
        <v>6</v>
      </c>
      <c r="F579" s="33"/>
      <c r="G579" s="34">
        <f>TRUNC(SUM(G576:G578),2)</f>
        <v>29.52</v>
      </c>
      <c r="H579" s="9"/>
    </row>
    <row r="580" spans="1:9" ht="30">
      <c r="A580" s="65" t="s">
        <v>680</v>
      </c>
      <c r="B580" s="67" t="s">
        <v>886</v>
      </c>
      <c r="C580" s="66" t="s">
        <v>681</v>
      </c>
      <c r="D580" s="67" t="s">
        <v>9</v>
      </c>
      <c r="E580" s="68">
        <v>2</v>
      </c>
      <c r="F580" s="69">
        <v>34.07</v>
      </c>
      <c r="G580" s="70">
        <f>TRUNC((E580*F580),2)</f>
        <v>68.14</v>
      </c>
      <c r="H580" s="9">
        <f>TRUNC((F580*1.2338),2)</f>
        <v>42.03</v>
      </c>
      <c r="I580" s="330" t="s">
        <v>887</v>
      </c>
    </row>
    <row r="581" spans="1:8" ht="30">
      <c r="A581" s="51" t="s">
        <v>64</v>
      </c>
      <c r="B581" s="52" t="s">
        <v>596</v>
      </c>
      <c r="C581" s="35" t="s">
        <v>92</v>
      </c>
      <c r="D581" s="36" t="s">
        <v>9</v>
      </c>
      <c r="E581" s="53">
        <v>1</v>
      </c>
      <c r="F581" s="37">
        <f>G585</f>
        <v>33.75</v>
      </c>
      <c r="G581" s="38">
        <f>TRUNC(E581*F581,2)</f>
        <v>33.75</v>
      </c>
      <c r="H581" s="9"/>
    </row>
    <row r="582" spans="1:8" ht="30">
      <c r="A582" s="60"/>
      <c r="B582" s="61" t="s">
        <v>597</v>
      </c>
      <c r="C582" s="31" t="s">
        <v>598</v>
      </c>
      <c r="D582" s="32" t="s">
        <v>9</v>
      </c>
      <c r="E582" s="62">
        <v>1</v>
      </c>
      <c r="F582" s="33">
        <v>16.89</v>
      </c>
      <c r="G582" s="34">
        <f>TRUNC(E582*F582,2)</f>
        <v>16.89</v>
      </c>
      <c r="H582" s="9"/>
    </row>
    <row r="583" spans="1:8" ht="15">
      <c r="A583" s="60"/>
      <c r="B583" s="61" t="s">
        <v>1</v>
      </c>
      <c r="C583" s="31" t="s">
        <v>2</v>
      </c>
      <c r="D583" s="32" t="s">
        <v>3</v>
      </c>
      <c r="E583" s="62">
        <v>0.35</v>
      </c>
      <c r="F583" s="33">
        <f>TRUNC(21.24,2)</f>
        <v>21.24</v>
      </c>
      <c r="G583" s="34">
        <f>TRUNC(E583*F583,2)</f>
        <v>7.43</v>
      </c>
      <c r="H583" s="9"/>
    </row>
    <row r="584" spans="1:8" ht="15">
      <c r="A584" s="60"/>
      <c r="B584" s="61" t="s">
        <v>134</v>
      </c>
      <c r="C584" s="31" t="s">
        <v>93</v>
      </c>
      <c r="D584" s="32" t="s">
        <v>3</v>
      </c>
      <c r="E584" s="62">
        <v>0.35</v>
      </c>
      <c r="F584" s="33">
        <f>TRUNC(26.96,2)</f>
        <v>26.96</v>
      </c>
      <c r="G584" s="34">
        <f>TRUNC(E584*F584,2)</f>
        <v>9.43</v>
      </c>
      <c r="H584" s="9"/>
    </row>
    <row r="585" spans="1:8" ht="15">
      <c r="A585" s="60"/>
      <c r="B585" s="61"/>
      <c r="C585" s="31"/>
      <c r="D585" s="32"/>
      <c r="E585" s="62" t="s">
        <v>6</v>
      </c>
      <c r="F585" s="33"/>
      <c r="G585" s="34">
        <f>TRUNC(SUM(G582:G584),2)</f>
        <v>33.75</v>
      </c>
      <c r="H585" s="9"/>
    </row>
    <row r="586" spans="1:8" ht="15.75">
      <c r="A586" s="40" t="s">
        <v>41</v>
      </c>
      <c r="B586" s="73"/>
      <c r="C586" s="41"/>
      <c r="D586" s="42"/>
      <c r="E586" s="377" t="s">
        <v>110</v>
      </c>
      <c r="F586" s="377"/>
      <c r="G586" s="43">
        <f>G358+G362+G371+G375+G384+G397+G404+G414+G420+G424+G430+G436+G443+G450+G457+G484+G490+G496+G502+G508+G514+G520+G527+G534+G541+G543+G545+G547+G549+G562+G568+G574+G580</f>
        <v>146058.02999999997</v>
      </c>
      <c r="H586" s="9"/>
    </row>
    <row r="587" spans="1:8" ht="15.75">
      <c r="A587" s="44" t="s">
        <v>111</v>
      </c>
      <c r="B587" s="44"/>
      <c r="C587" s="45" t="s">
        <v>256</v>
      </c>
      <c r="D587" s="149"/>
      <c r="E587" s="46"/>
      <c r="F587" s="47"/>
      <c r="G587" s="48"/>
      <c r="H587" s="9"/>
    </row>
    <row r="588" spans="1:8" ht="45">
      <c r="A588" s="65" t="s">
        <v>112</v>
      </c>
      <c r="B588" s="67" t="s">
        <v>123</v>
      </c>
      <c r="C588" s="66" t="s">
        <v>70</v>
      </c>
      <c r="D588" s="67" t="s">
        <v>0</v>
      </c>
      <c r="E588" s="68">
        <v>31.56</v>
      </c>
      <c r="F588" s="69">
        <v>1005.11</v>
      </c>
      <c r="G588" s="70">
        <f>TRUNC((E588*F588),2)</f>
        <v>31721.27</v>
      </c>
      <c r="H588" s="9">
        <f>TRUNC((F588*1.2338),2)</f>
        <v>1240.1</v>
      </c>
    </row>
    <row r="589" spans="1:8" ht="60">
      <c r="A589" s="51" t="s">
        <v>64</v>
      </c>
      <c r="B589" s="52" t="s">
        <v>123</v>
      </c>
      <c r="C589" s="35" t="s">
        <v>610</v>
      </c>
      <c r="D589" s="36" t="s">
        <v>0</v>
      </c>
      <c r="E589" s="53">
        <v>1</v>
      </c>
      <c r="F589" s="37">
        <f>G594</f>
        <v>1022.05</v>
      </c>
      <c r="G589" s="38">
        <f>TRUNC(E589*F589,2)</f>
        <v>1022.05</v>
      </c>
      <c r="H589" s="74"/>
    </row>
    <row r="590" spans="1:8" ht="15">
      <c r="A590" s="60"/>
      <c r="B590" s="61" t="s">
        <v>611</v>
      </c>
      <c r="C590" s="31" t="s">
        <v>612</v>
      </c>
      <c r="D590" s="32" t="s">
        <v>17</v>
      </c>
      <c r="E590" s="62">
        <v>16.099999999999998</v>
      </c>
      <c r="F590" s="33">
        <v>7.12</v>
      </c>
      <c r="G590" s="34">
        <f>E590*F590</f>
        <v>114.63199999999999</v>
      </c>
      <c r="H590" s="74"/>
    </row>
    <row r="591" spans="1:8" ht="30">
      <c r="A591" s="60"/>
      <c r="B591" s="61" t="s">
        <v>516</v>
      </c>
      <c r="C591" s="31" t="s">
        <v>517</v>
      </c>
      <c r="D591" s="32" t="s">
        <v>17</v>
      </c>
      <c r="E591" s="62">
        <v>26.45</v>
      </c>
      <c r="F591" s="33">
        <v>4.9</v>
      </c>
      <c r="G591" s="34">
        <f>E591*F591</f>
        <v>129.60500000000002</v>
      </c>
      <c r="H591" s="74"/>
    </row>
    <row r="592" spans="1:8" ht="30">
      <c r="A592" s="60"/>
      <c r="B592" s="61" t="s">
        <v>124</v>
      </c>
      <c r="C592" s="31" t="s">
        <v>125</v>
      </c>
      <c r="D592" s="32" t="s">
        <v>3</v>
      </c>
      <c r="E592" s="62">
        <v>21.63</v>
      </c>
      <c r="F592" s="33">
        <v>21.49</v>
      </c>
      <c r="G592" s="34">
        <f>E592*F592</f>
        <v>464.82869999999997</v>
      </c>
      <c r="H592" s="74"/>
    </row>
    <row r="593" spans="1:8" ht="30">
      <c r="A593" s="60"/>
      <c r="B593" s="61" t="s">
        <v>355</v>
      </c>
      <c r="C593" s="31" t="s">
        <v>356</v>
      </c>
      <c r="D593" s="32" t="s">
        <v>3</v>
      </c>
      <c r="E593" s="62">
        <v>21.63</v>
      </c>
      <c r="F593" s="33">
        <v>14.47</v>
      </c>
      <c r="G593" s="34">
        <f>E593*F593</f>
        <v>312.9861</v>
      </c>
      <c r="H593" s="74"/>
    </row>
    <row r="594" spans="1:8" ht="15">
      <c r="A594" s="60"/>
      <c r="B594" s="61"/>
      <c r="C594" s="31"/>
      <c r="D594" s="32"/>
      <c r="E594" s="62" t="s">
        <v>6</v>
      </c>
      <c r="F594" s="33"/>
      <c r="G594" s="34">
        <f>TRUNC(SUM(G590:G593),2)</f>
        <v>1022.05</v>
      </c>
      <c r="H594" s="74"/>
    </row>
    <row r="595" spans="1:8" ht="30">
      <c r="A595" s="75" t="s">
        <v>113</v>
      </c>
      <c r="B595" s="76" t="s">
        <v>72</v>
      </c>
      <c r="C595" s="77" t="s">
        <v>73</v>
      </c>
      <c r="D595" s="76" t="s">
        <v>9</v>
      </c>
      <c r="E595" s="78">
        <v>2</v>
      </c>
      <c r="F595" s="102">
        <v>160.46</v>
      </c>
      <c r="G595" s="80">
        <f>TRUNC((E595*F595),2)</f>
        <v>320.92</v>
      </c>
      <c r="H595" s="9">
        <f>TRUNC((F595*1.2338),2)</f>
        <v>197.97</v>
      </c>
    </row>
    <row r="596" spans="1:8" ht="30">
      <c r="A596" s="60" t="s">
        <v>64</v>
      </c>
      <c r="B596" s="61" t="s">
        <v>613</v>
      </c>
      <c r="C596" s="31" t="s">
        <v>73</v>
      </c>
      <c r="D596" s="32" t="s">
        <v>9</v>
      </c>
      <c r="E596" s="62">
        <v>1</v>
      </c>
      <c r="F596" s="33">
        <f>G601</f>
        <v>159.71</v>
      </c>
      <c r="G596" s="34">
        <f>TRUNC(E596*F596,2)</f>
        <v>159.71</v>
      </c>
      <c r="H596" s="96" t="s">
        <v>126</v>
      </c>
    </row>
    <row r="597" spans="1:8" ht="30">
      <c r="A597" s="60"/>
      <c r="B597" s="61" t="s">
        <v>614</v>
      </c>
      <c r="C597" s="31" t="s">
        <v>615</v>
      </c>
      <c r="D597" s="32" t="s">
        <v>9</v>
      </c>
      <c r="E597" s="62">
        <v>1</v>
      </c>
      <c r="F597" s="33">
        <v>144.47</v>
      </c>
      <c r="G597" s="34">
        <f>TRUNC(E597*F597,2)</f>
        <v>144.47</v>
      </c>
      <c r="H597" s="96"/>
    </row>
    <row r="598" spans="1:8" ht="15">
      <c r="A598" s="60"/>
      <c r="B598" s="61" t="s">
        <v>616</v>
      </c>
      <c r="C598" s="31" t="s">
        <v>617</v>
      </c>
      <c r="D598" s="32" t="s">
        <v>9</v>
      </c>
      <c r="E598" s="62">
        <v>1</v>
      </c>
      <c r="F598" s="33">
        <v>2.62</v>
      </c>
      <c r="G598" s="34">
        <f>TRUNC(E598*F598,2)</f>
        <v>2.62</v>
      </c>
      <c r="H598" s="96"/>
    </row>
    <row r="599" spans="1:8" ht="15">
      <c r="A599" s="60"/>
      <c r="B599" s="61" t="s">
        <v>141</v>
      </c>
      <c r="C599" s="31" t="s">
        <v>74</v>
      </c>
      <c r="D599" s="32" t="s">
        <v>3</v>
      </c>
      <c r="E599" s="62">
        <v>0.25</v>
      </c>
      <c r="F599" s="33">
        <f>TRUNC(28.09,2)</f>
        <v>28.09</v>
      </c>
      <c r="G599" s="34">
        <f>TRUNC(E599*F599,2)</f>
        <v>7.02</v>
      </c>
      <c r="H599" s="96"/>
    </row>
    <row r="600" spans="1:8" ht="15">
      <c r="A600" s="60"/>
      <c r="B600" s="61" t="s">
        <v>142</v>
      </c>
      <c r="C600" s="31" t="s">
        <v>75</v>
      </c>
      <c r="D600" s="32" t="s">
        <v>3</v>
      </c>
      <c r="E600" s="62">
        <v>0.25</v>
      </c>
      <c r="F600" s="33">
        <f>TRUNC(22.41,2)</f>
        <v>22.41</v>
      </c>
      <c r="G600" s="34">
        <f>TRUNC(E600*F600,2)</f>
        <v>5.6</v>
      </c>
      <c r="H600" s="96"/>
    </row>
    <row r="601" spans="1:8" ht="15">
      <c r="A601" s="60"/>
      <c r="B601" s="61"/>
      <c r="C601" s="31"/>
      <c r="D601" s="32"/>
      <c r="E601" s="62" t="s">
        <v>6</v>
      </c>
      <c r="F601" s="33"/>
      <c r="G601" s="34">
        <f>TRUNC(SUM(G597:G600),2)</f>
        <v>159.71</v>
      </c>
      <c r="H601" s="96"/>
    </row>
    <row r="602" spans="1:8" ht="15.75">
      <c r="A602" s="40" t="s">
        <v>41</v>
      </c>
      <c r="B602" s="73"/>
      <c r="C602" s="41"/>
      <c r="D602" s="42"/>
      <c r="E602" s="377" t="s">
        <v>116</v>
      </c>
      <c r="F602" s="377"/>
      <c r="G602" s="43">
        <f>G588+G595</f>
        <v>32042.19</v>
      </c>
      <c r="H602" s="9"/>
    </row>
    <row r="603" spans="1:8" ht="15.75">
      <c r="A603" s="44" t="s">
        <v>117</v>
      </c>
      <c r="B603" s="44"/>
      <c r="C603" s="45" t="s">
        <v>252</v>
      </c>
      <c r="D603" s="149"/>
      <c r="E603" s="46"/>
      <c r="F603" s="47"/>
      <c r="G603" s="48"/>
      <c r="H603" s="9"/>
    </row>
    <row r="604" spans="1:9" s="9" customFormat="1" ht="30.75">
      <c r="A604" s="63" t="s">
        <v>238</v>
      </c>
      <c r="B604" s="28" t="s">
        <v>299</v>
      </c>
      <c r="C604" s="27" t="s">
        <v>618</v>
      </c>
      <c r="D604" s="28" t="s">
        <v>0</v>
      </c>
      <c r="E604" s="64">
        <f>(1.98+13.32+6.07+102.04+3.47+6.43+5.31+5.33+6.37+3.38+125.25+122.19)*2*3</f>
        <v>2406.84</v>
      </c>
      <c r="F604" s="29">
        <f>F605</f>
        <v>3.11</v>
      </c>
      <c r="G604" s="30">
        <f>TRUNC((E604*F604),2)</f>
        <v>7485.27</v>
      </c>
      <c r="H604" s="9">
        <f>TRUNC((F604*1.2338),2)</f>
        <v>3.83</v>
      </c>
      <c r="I604" s="9" t="s">
        <v>520</v>
      </c>
    </row>
    <row r="605" spans="1:7" s="9" customFormat="1" ht="30">
      <c r="A605" s="60"/>
      <c r="B605" s="32" t="s">
        <v>299</v>
      </c>
      <c r="C605" s="31" t="s">
        <v>619</v>
      </c>
      <c r="D605" s="32" t="s">
        <v>0</v>
      </c>
      <c r="E605" s="62">
        <v>1</v>
      </c>
      <c r="F605" s="33">
        <f>G609</f>
        <v>3.11</v>
      </c>
      <c r="G605" s="34">
        <f>TRUNC(E605*F605,2)</f>
        <v>3.11</v>
      </c>
    </row>
    <row r="606" spans="1:7" s="9" customFormat="1" ht="15">
      <c r="A606" s="60"/>
      <c r="B606" s="32" t="s">
        <v>620</v>
      </c>
      <c r="C606" s="31" t="s">
        <v>621</v>
      </c>
      <c r="D606" s="32" t="s">
        <v>81</v>
      </c>
      <c r="E606" s="62">
        <v>0.16</v>
      </c>
      <c r="F606" s="33">
        <v>13.74</v>
      </c>
      <c r="G606" s="34">
        <f>TRUNC(E606*F606,2)</f>
        <v>2.19</v>
      </c>
    </row>
    <row r="607" spans="1:7" s="9" customFormat="1" ht="15">
      <c r="A607" s="60"/>
      <c r="B607" s="32" t="s">
        <v>1</v>
      </c>
      <c r="C607" s="31" t="s">
        <v>2</v>
      </c>
      <c r="D607" s="32" t="s">
        <v>3</v>
      </c>
      <c r="E607" s="62">
        <v>0.01</v>
      </c>
      <c r="F607" s="33">
        <f>TRUNC(21.24,2)</f>
        <v>21.24</v>
      </c>
      <c r="G607" s="34">
        <f>TRUNC(E607*F607,2)</f>
        <v>0.21</v>
      </c>
    </row>
    <row r="608" spans="1:7" s="9" customFormat="1" ht="15">
      <c r="A608" s="60"/>
      <c r="B608" s="32" t="s">
        <v>255</v>
      </c>
      <c r="C608" s="31" t="s">
        <v>82</v>
      </c>
      <c r="D608" s="32" t="s">
        <v>3</v>
      </c>
      <c r="E608" s="62">
        <v>0.027</v>
      </c>
      <c r="F608" s="33">
        <f>TRUNC(26.61,2)</f>
        <v>26.61</v>
      </c>
      <c r="G608" s="34">
        <f>TRUNC(E608*F608,2)</f>
        <v>0.71</v>
      </c>
    </row>
    <row r="609" spans="1:7" s="9" customFormat="1" ht="15">
      <c r="A609" s="60"/>
      <c r="B609" s="32"/>
      <c r="C609" s="31"/>
      <c r="D609" s="32"/>
      <c r="E609" s="62" t="s">
        <v>6</v>
      </c>
      <c r="F609" s="33"/>
      <c r="G609" s="34">
        <f>TRUNC(SUM(G606:G608),2)</f>
        <v>3.11</v>
      </c>
    </row>
    <row r="610" spans="1:9" s="9" customFormat="1" ht="30.75">
      <c r="A610" s="63" t="s">
        <v>239</v>
      </c>
      <c r="B610" s="28" t="s">
        <v>253</v>
      </c>
      <c r="C610" s="27" t="s">
        <v>622</v>
      </c>
      <c r="D610" s="28" t="s">
        <v>0</v>
      </c>
      <c r="E610" s="64">
        <f>(1.98+13.32+6.07+102.04+3.47+6.43+5.31+5.33+6.37+3.38+125.25+122.19)*2*3</f>
        <v>2406.84</v>
      </c>
      <c r="F610" s="29">
        <v>12.36</v>
      </c>
      <c r="G610" s="30">
        <f>TRUNC((E610*F610),2)</f>
        <v>29748.54</v>
      </c>
      <c r="H610" s="9">
        <f>TRUNC((F610*1.2338),2)</f>
        <v>15.24</v>
      </c>
      <c r="I610" s="9" t="s">
        <v>520</v>
      </c>
    </row>
    <row r="611" spans="1:7" s="9" customFormat="1" ht="30">
      <c r="A611" s="60"/>
      <c r="B611" s="32" t="s">
        <v>253</v>
      </c>
      <c r="C611" s="31" t="s">
        <v>79</v>
      </c>
      <c r="D611" s="32" t="s">
        <v>0</v>
      </c>
      <c r="E611" s="62">
        <v>1</v>
      </c>
      <c r="F611" s="33">
        <f>G615</f>
        <v>12.78</v>
      </c>
      <c r="G611" s="34">
        <f>TRUNC(E611*F611,2)</f>
        <v>12.78</v>
      </c>
    </row>
    <row r="612" spans="1:7" s="9" customFormat="1" ht="15">
      <c r="A612" s="60"/>
      <c r="B612" s="32" t="s">
        <v>254</v>
      </c>
      <c r="C612" s="31" t="s">
        <v>80</v>
      </c>
      <c r="D612" s="32" t="s">
        <v>81</v>
      </c>
      <c r="E612" s="62">
        <v>0.33</v>
      </c>
      <c r="F612" s="33">
        <v>19.27</v>
      </c>
      <c r="G612" s="34">
        <f>TRUNC(E612*F612,2)</f>
        <v>6.35</v>
      </c>
    </row>
    <row r="613" spans="1:7" s="9" customFormat="1" ht="15">
      <c r="A613" s="60"/>
      <c r="B613" s="32" t="s">
        <v>1</v>
      </c>
      <c r="C613" s="31" t="s">
        <v>2</v>
      </c>
      <c r="D613" s="32" t="s">
        <v>3</v>
      </c>
      <c r="E613" s="62">
        <v>0.069</v>
      </c>
      <c r="F613" s="33">
        <f>TRUNC(21.24,2)</f>
        <v>21.24</v>
      </c>
      <c r="G613" s="34">
        <f>TRUNC(E613*F613,2)</f>
        <v>1.46</v>
      </c>
    </row>
    <row r="614" spans="1:7" s="9" customFormat="1" ht="15">
      <c r="A614" s="60"/>
      <c r="B614" s="32" t="s">
        <v>255</v>
      </c>
      <c r="C614" s="31" t="s">
        <v>82</v>
      </c>
      <c r="D614" s="32" t="s">
        <v>3</v>
      </c>
      <c r="E614" s="62">
        <v>0.187</v>
      </c>
      <c r="F614" s="33">
        <f>TRUNC(26.61,2)</f>
        <v>26.61</v>
      </c>
      <c r="G614" s="34">
        <f>TRUNC(E614*F614,2)</f>
        <v>4.97</v>
      </c>
    </row>
    <row r="615" spans="1:7" s="9" customFormat="1" ht="15">
      <c r="A615" s="60"/>
      <c r="B615" s="32"/>
      <c r="C615" s="31"/>
      <c r="D615" s="32"/>
      <c r="E615" s="62" t="s">
        <v>6</v>
      </c>
      <c r="F615" s="33"/>
      <c r="G615" s="34">
        <f>TRUNC(SUM(G612:G614),2)</f>
        <v>12.78</v>
      </c>
    </row>
    <row r="616" spans="1:8" s="9" customFormat="1" ht="45">
      <c r="A616" s="63" t="s">
        <v>240</v>
      </c>
      <c r="B616" s="28" t="s">
        <v>275</v>
      </c>
      <c r="C616" s="27" t="s">
        <v>276</v>
      </c>
      <c r="D616" s="28" t="s">
        <v>0</v>
      </c>
      <c r="E616" s="64">
        <v>100.02</v>
      </c>
      <c r="F616" s="29">
        <v>19.95</v>
      </c>
      <c r="G616" s="30">
        <f>TRUNC((E616*F616),2)</f>
        <v>1995.39</v>
      </c>
      <c r="H616" s="9">
        <f>TRUNC((F616*1.2338),2)</f>
        <v>24.61</v>
      </c>
    </row>
    <row r="617" spans="1:7" s="74" customFormat="1" ht="45">
      <c r="A617" s="60"/>
      <c r="B617" s="32" t="s">
        <v>275</v>
      </c>
      <c r="C617" s="31" t="s">
        <v>276</v>
      </c>
      <c r="D617" s="32" t="s">
        <v>0</v>
      </c>
      <c r="E617" s="62">
        <v>1</v>
      </c>
      <c r="F617" s="33">
        <f>G624</f>
        <v>19.65</v>
      </c>
      <c r="G617" s="34">
        <f aca="true" t="shared" si="22" ref="G617:G623">TRUNC(E617*F617,2)</f>
        <v>19.65</v>
      </c>
    </row>
    <row r="618" spans="1:7" s="74" customFormat="1" ht="15">
      <c r="A618" s="60"/>
      <c r="B618" s="32" t="s">
        <v>277</v>
      </c>
      <c r="C618" s="31" t="s">
        <v>278</v>
      </c>
      <c r="D618" s="32" t="s">
        <v>81</v>
      </c>
      <c r="E618" s="62">
        <v>0.132</v>
      </c>
      <c r="F618" s="33">
        <v>26.66</v>
      </c>
      <c r="G618" s="34">
        <f t="shared" si="22"/>
        <v>3.51</v>
      </c>
    </row>
    <row r="619" spans="1:7" s="74" customFormat="1" ht="15">
      <c r="A619" s="60"/>
      <c r="B619" s="32" t="s">
        <v>279</v>
      </c>
      <c r="C619" s="31" t="s">
        <v>280</v>
      </c>
      <c r="D619" s="32" t="s">
        <v>81</v>
      </c>
      <c r="E619" s="62">
        <v>0.176</v>
      </c>
      <c r="F619" s="33">
        <v>29.09</v>
      </c>
      <c r="G619" s="34">
        <f t="shared" si="22"/>
        <v>5.11</v>
      </c>
    </row>
    <row r="620" spans="1:7" s="74" customFormat="1" ht="15">
      <c r="A620" s="60"/>
      <c r="B620" s="32" t="s">
        <v>281</v>
      </c>
      <c r="C620" s="31" t="s">
        <v>282</v>
      </c>
      <c r="D620" s="32" t="s">
        <v>81</v>
      </c>
      <c r="E620" s="62">
        <v>0.044</v>
      </c>
      <c r="F620" s="33">
        <v>35.25</v>
      </c>
      <c r="G620" s="34">
        <f t="shared" si="22"/>
        <v>1.55</v>
      </c>
    </row>
    <row r="621" spans="1:7" s="74" customFormat="1" ht="15">
      <c r="A621" s="60"/>
      <c r="B621" s="32" t="s">
        <v>283</v>
      </c>
      <c r="C621" s="31" t="s">
        <v>284</v>
      </c>
      <c r="D621" s="32" t="s">
        <v>9</v>
      </c>
      <c r="E621" s="62">
        <v>0.55</v>
      </c>
      <c r="F621" s="33">
        <v>2.86</v>
      </c>
      <c r="G621" s="34">
        <f t="shared" si="22"/>
        <v>1.57</v>
      </c>
    </row>
    <row r="622" spans="1:7" s="74" customFormat="1" ht="15">
      <c r="A622" s="60"/>
      <c r="B622" s="32" t="s">
        <v>1</v>
      </c>
      <c r="C622" s="31" t="s">
        <v>2</v>
      </c>
      <c r="D622" s="32" t="s">
        <v>3</v>
      </c>
      <c r="E622" s="62">
        <v>0.11</v>
      </c>
      <c r="F622" s="33">
        <f>TRUNC(21.24,2)</f>
        <v>21.24</v>
      </c>
      <c r="G622" s="34">
        <f t="shared" si="22"/>
        <v>2.33</v>
      </c>
    </row>
    <row r="623" spans="1:7" s="74" customFormat="1" ht="15">
      <c r="A623" s="60"/>
      <c r="B623" s="32" t="s">
        <v>255</v>
      </c>
      <c r="C623" s="31" t="s">
        <v>82</v>
      </c>
      <c r="D623" s="32" t="s">
        <v>3</v>
      </c>
      <c r="E623" s="62">
        <v>0.21</v>
      </c>
      <c r="F623" s="33">
        <f>TRUNC(26.61,2)</f>
        <v>26.61</v>
      </c>
      <c r="G623" s="34">
        <f t="shared" si="22"/>
        <v>5.58</v>
      </c>
    </row>
    <row r="624" spans="1:7" s="74" customFormat="1" ht="15">
      <c r="A624" s="60"/>
      <c r="B624" s="32"/>
      <c r="C624" s="31"/>
      <c r="D624" s="32"/>
      <c r="E624" s="62" t="s">
        <v>6</v>
      </c>
      <c r="F624" s="33"/>
      <c r="G624" s="34">
        <f>TRUNC(SUM(G618:G623),2)</f>
        <v>19.65</v>
      </c>
    </row>
    <row r="625" spans="1:8" ht="15.75">
      <c r="A625" s="40" t="s">
        <v>41</v>
      </c>
      <c r="B625" s="73"/>
      <c r="C625" s="41"/>
      <c r="D625" s="42"/>
      <c r="E625" s="377" t="s">
        <v>161</v>
      </c>
      <c r="F625" s="377"/>
      <c r="G625" s="43">
        <f>G604+G610+G616</f>
        <v>39229.2</v>
      </c>
      <c r="H625" s="9"/>
    </row>
    <row r="626" spans="1:8" ht="15.75">
      <c r="A626" s="44" t="s">
        <v>241</v>
      </c>
      <c r="B626" s="44"/>
      <c r="C626" s="45" t="s">
        <v>67</v>
      </c>
      <c r="D626" s="149"/>
      <c r="E626" s="46"/>
      <c r="F626" s="47"/>
      <c r="G626" s="48"/>
      <c r="H626" s="9"/>
    </row>
    <row r="627" spans="1:8" ht="15">
      <c r="A627" s="63" t="s">
        <v>242</v>
      </c>
      <c r="B627" s="28" t="s">
        <v>825</v>
      </c>
      <c r="C627" s="27" t="s">
        <v>826</v>
      </c>
      <c r="D627" s="28" t="s">
        <v>0</v>
      </c>
      <c r="E627" s="64">
        <v>4998.31</v>
      </c>
      <c r="F627" s="29">
        <v>11.59</v>
      </c>
      <c r="G627" s="30">
        <f>TRUNC((E627*F627),2)</f>
        <v>57930.41</v>
      </c>
      <c r="H627" s="9">
        <f>TRUNC((F627*1.2338),2)</f>
        <v>14.29</v>
      </c>
    </row>
    <row r="628" spans="1:8" s="90" customFormat="1" ht="15">
      <c r="A628" s="60"/>
      <c r="B628" s="32" t="s">
        <v>825</v>
      </c>
      <c r="C628" s="31" t="s">
        <v>826</v>
      </c>
      <c r="D628" s="32" t="s">
        <v>0</v>
      </c>
      <c r="E628" s="62">
        <v>1</v>
      </c>
      <c r="F628" s="33">
        <f>G635</f>
        <v>15.17</v>
      </c>
      <c r="G628" s="34">
        <f aca="true" t="shared" si="23" ref="G628:G634">TRUNC(E628*F628,2)</f>
        <v>15.17</v>
      </c>
      <c r="H628" s="89"/>
    </row>
    <row r="629" spans="1:8" s="90" customFormat="1" ht="15">
      <c r="A629" s="60"/>
      <c r="B629" s="32" t="s">
        <v>827</v>
      </c>
      <c r="C629" s="31" t="s">
        <v>828</v>
      </c>
      <c r="D629" s="32" t="s">
        <v>17</v>
      </c>
      <c r="E629" s="62">
        <v>3</v>
      </c>
      <c r="F629" s="33">
        <f>TRUNC(0.68,2)</f>
        <v>0.68</v>
      </c>
      <c r="G629" s="34">
        <f t="shared" si="23"/>
        <v>2.04</v>
      </c>
      <c r="H629" s="89"/>
    </row>
    <row r="630" spans="1:8" s="90" customFormat="1" ht="15">
      <c r="A630" s="60"/>
      <c r="B630" s="32" t="s">
        <v>829</v>
      </c>
      <c r="C630" s="31" t="s">
        <v>830</v>
      </c>
      <c r="D630" s="32" t="s">
        <v>17</v>
      </c>
      <c r="E630" s="62">
        <v>0.15</v>
      </c>
      <c r="F630" s="33">
        <f>TRUNC(0.08,2)</f>
        <v>0.08</v>
      </c>
      <c r="G630" s="34">
        <f t="shared" si="23"/>
        <v>0.01</v>
      </c>
      <c r="H630" s="89"/>
    </row>
    <row r="631" spans="1:8" s="90" customFormat="1" ht="15">
      <c r="A631" s="60"/>
      <c r="B631" s="32" t="s">
        <v>831</v>
      </c>
      <c r="C631" s="31" t="s">
        <v>832</v>
      </c>
      <c r="D631" s="32" t="s">
        <v>17</v>
      </c>
      <c r="E631" s="62">
        <v>0.1</v>
      </c>
      <c r="F631" s="33">
        <f>TRUNC(4.07,2)</f>
        <v>4.07</v>
      </c>
      <c r="G631" s="34">
        <f t="shared" si="23"/>
        <v>0.4</v>
      </c>
      <c r="H631" s="89"/>
    </row>
    <row r="632" spans="1:8" s="90" customFormat="1" ht="30">
      <c r="A632" s="60"/>
      <c r="B632" s="32" t="s">
        <v>833</v>
      </c>
      <c r="C632" s="31" t="s">
        <v>834</v>
      </c>
      <c r="D632" s="32" t="s">
        <v>0</v>
      </c>
      <c r="E632" s="62">
        <v>1</v>
      </c>
      <c r="F632" s="33">
        <f>TRUNC(8,2)</f>
        <v>8</v>
      </c>
      <c r="G632" s="34">
        <f t="shared" si="23"/>
        <v>8</v>
      </c>
      <c r="H632" s="89"/>
    </row>
    <row r="633" spans="1:8" s="90" customFormat="1" ht="15">
      <c r="A633" s="60"/>
      <c r="B633" s="32" t="s">
        <v>835</v>
      </c>
      <c r="C633" s="31" t="s">
        <v>836</v>
      </c>
      <c r="D633" s="32" t="s">
        <v>3</v>
      </c>
      <c r="E633" s="62">
        <v>0.1</v>
      </c>
      <c r="F633" s="33">
        <f>TRUNC(26.04,2)</f>
        <v>26.04</v>
      </c>
      <c r="G633" s="34">
        <f t="shared" si="23"/>
        <v>2.6</v>
      </c>
      <c r="H633" s="89"/>
    </row>
    <row r="634" spans="1:8" s="90" customFormat="1" ht="15">
      <c r="A634" s="60"/>
      <c r="B634" s="32" t="s">
        <v>1</v>
      </c>
      <c r="C634" s="31" t="s">
        <v>2</v>
      </c>
      <c r="D634" s="32" t="s">
        <v>3</v>
      </c>
      <c r="E634" s="62">
        <v>0.1</v>
      </c>
      <c r="F634" s="33">
        <f>TRUNC(21.24,2)</f>
        <v>21.24</v>
      </c>
      <c r="G634" s="34">
        <f t="shared" si="23"/>
        <v>2.12</v>
      </c>
      <c r="H634" s="89"/>
    </row>
    <row r="635" spans="1:8" s="90" customFormat="1" ht="15">
      <c r="A635" s="60"/>
      <c r="B635" s="32"/>
      <c r="C635" s="31"/>
      <c r="D635" s="32"/>
      <c r="E635" s="62" t="s">
        <v>6</v>
      </c>
      <c r="F635" s="33"/>
      <c r="G635" s="34">
        <f>TRUNC(SUM(G629:G634),2)</f>
        <v>15.17</v>
      </c>
      <c r="H635" s="89"/>
    </row>
    <row r="636" spans="1:8" ht="15.75">
      <c r="A636" s="40" t="s">
        <v>41</v>
      </c>
      <c r="B636" s="73"/>
      <c r="C636" s="41"/>
      <c r="D636" s="42"/>
      <c r="E636" s="377" t="s">
        <v>243</v>
      </c>
      <c r="F636" s="377"/>
      <c r="G636" s="43">
        <f>G627</f>
        <v>57930.41</v>
      </c>
      <c r="H636" s="9"/>
    </row>
    <row r="637" spans="1:8" ht="15.75">
      <c r="A637" s="44" t="s">
        <v>244</v>
      </c>
      <c r="B637" s="44"/>
      <c r="C637" s="45" t="s">
        <v>890</v>
      </c>
      <c r="D637" s="149"/>
      <c r="E637" s="46"/>
      <c r="F637" s="47"/>
      <c r="G637" s="48"/>
      <c r="H637" s="9"/>
    </row>
    <row r="638" spans="1:8" ht="30">
      <c r="A638" s="49" t="s">
        <v>245</v>
      </c>
      <c r="B638" s="193" t="s">
        <v>894</v>
      </c>
      <c r="C638" s="24" t="s">
        <v>895</v>
      </c>
      <c r="D638" s="25" t="s">
        <v>0</v>
      </c>
      <c r="E638" s="50">
        <v>3.05</v>
      </c>
      <c r="F638" s="26">
        <f>F639</f>
        <v>10.25</v>
      </c>
      <c r="G638" s="39">
        <f>TRUNC((E638*F638),2)</f>
        <v>31.26</v>
      </c>
      <c r="H638" s="9">
        <f>TRUNC((F638*1.2338),2)</f>
        <v>12.64</v>
      </c>
    </row>
    <row r="639" spans="1:8" ht="30">
      <c r="A639" s="51" t="s">
        <v>41</v>
      </c>
      <c r="B639" s="194" t="s">
        <v>894</v>
      </c>
      <c r="C639" s="35" t="s">
        <v>895</v>
      </c>
      <c r="D639" s="36" t="s">
        <v>0</v>
      </c>
      <c r="E639" s="53">
        <v>1</v>
      </c>
      <c r="F639" s="37">
        <f>G644</f>
        <v>10.25</v>
      </c>
      <c r="G639" s="38">
        <f>TRUNC(E639*F639,2)</f>
        <v>10.25</v>
      </c>
      <c r="H639" s="9"/>
    </row>
    <row r="640" spans="1:8" ht="60">
      <c r="A640" s="60"/>
      <c r="B640" s="196" t="s">
        <v>896</v>
      </c>
      <c r="C640" s="31" t="s">
        <v>897</v>
      </c>
      <c r="D640" s="32" t="s">
        <v>4</v>
      </c>
      <c r="E640" s="62">
        <v>0.0836</v>
      </c>
      <c r="F640" s="33">
        <f>TRUNC(0.65,2)</f>
        <v>0.65</v>
      </c>
      <c r="G640" s="34">
        <f>TRUNC(E640*F640,2)</f>
        <v>0.05</v>
      </c>
      <c r="H640" s="9"/>
    </row>
    <row r="641" spans="1:8" ht="60">
      <c r="A641" s="60"/>
      <c r="B641" s="196" t="s">
        <v>898</v>
      </c>
      <c r="C641" s="31" t="s">
        <v>899</v>
      </c>
      <c r="D641" s="32" t="s">
        <v>5</v>
      </c>
      <c r="E641" s="62">
        <v>0.0524</v>
      </c>
      <c r="F641" s="33">
        <f>TRUNC(10.77,2)</f>
        <v>10.77</v>
      </c>
      <c r="G641" s="34">
        <f>TRUNC(E641*F641,2)</f>
        <v>0.56</v>
      </c>
      <c r="H641" s="9"/>
    </row>
    <row r="642" spans="1:8" ht="45">
      <c r="A642" s="60"/>
      <c r="B642" s="196" t="s">
        <v>900</v>
      </c>
      <c r="C642" s="31" t="s">
        <v>901</v>
      </c>
      <c r="D642" s="32" t="s">
        <v>4</v>
      </c>
      <c r="E642" s="62">
        <v>0.0896</v>
      </c>
      <c r="F642" s="33">
        <f>TRUNC(57.23,2)</f>
        <v>57.23</v>
      </c>
      <c r="G642" s="34">
        <f>TRUNC(E642*F642,2)</f>
        <v>5.12</v>
      </c>
      <c r="H642" s="9"/>
    </row>
    <row r="643" spans="1:8" ht="45">
      <c r="A643" s="60"/>
      <c r="B643" s="196" t="s">
        <v>902</v>
      </c>
      <c r="C643" s="31" t="s">
        <v>903</v>
      </c>
      <c r="D643" s="32" t="s">
        <v>5</v>
      </c>
      <c r="E643" s="62">
        <v>0.0326</v>
      </c>
      <c r="F643" s="33">
        <f>TRUNC(138.77,2)</f>
        <v>138.77</v>
      </c>
      <c r="G643" s="34">
        <f>TRUNC(E643*F643,2)</f>
        <v>4.52</v>
      </c>
      <c r="H643" s="9"/>
    </row>
    <row r="644" spans="1:8" ht="15">
      <c r="A644" s="60"/>
      <c r="B644" s="196"/>
      <c r="C644" s="31"/>
      <c r="D644" s="32"/>
      <c r="E644" s="62" t="s">
        <v>6</v>
      </c>
      <c r="F644" s="33"/>
      <c r="G644" s="34">
        <f>TRUNC(SUM(G640:G643),2)</f>
        <v>10.25</v>
      </c>
      <c r="H644" s="9"/>
    </row>
    <row r="645" spans="1:8" ht="45">
      <c r="A645" s="75" t="s">
        <v>246</v>
      </c>
      <c r="B645" s="198" t="s">
        <v>120</v>
      </c>
      <c r="C645" s="77" t="s">
        <v>462</v>
      </c>
      <c r="D645" s="76" t="s">
        <v>10</v>
      </c>
      <c r="E645" s="78">
        <v>9.44</v>
      </c>
      <c r="F645" s="79">
        <v>37.49</v>
      </c>
      <c r="G645" s="80">
        <f>TRUNC((E645*F645),2)</f>
        <v>353.9</v>
      </c>
      <c r="H645" s="9">
        <f>TRUNC((F645*1.2338),2)</f>
        <v>46.25</v>
      </c>
    </row>
    <row r="646" spans="1:7" ht="45">
      <c r="A646" s="199" t="s">
        <v>41</v>
      </c>
      <c r="B646" s="200" t="s">
        <v>120</v>
      </c>
      <c r="C646" s="166" t="s">
        <v>462</v>
      </c>
      <c r="D646" s="165" t="s">
        <v>10</v>
      </c>
      <c r="E646" s="165">
        <v>1</v>
      </c>
      <c r="F646" s="165">
        <f>G653</f>
        <v>38.01</v>
      </c>
      <c r="G646" s="168">
        <f aca="true" t="shared" si="24" ref="G646:G652">TRUNC(E646*F646,2)</f>
        <v>38.01</v>
      </c>
    </row>
    <row r="647" spans="1:7" ht="30">
      <c r="A647" s="169"/>
      <c r="B647" s="201" t="s">
        <v>7</v>
      </c>
      <c r="C647" s="170" t="s">
        <v>8</v>
      </c>
      <c r="D647" s="88" t="s">
        <v>3</v>
      </c>
      <c r="E647" s="88">
        <v>0.0927</v>
      </c>
      <c r="F647" s="88">
        <f>TRUNC(14.47,2)</f>
        <v>14.47</v>
      </c>
      <c r="G647" s="172">
        <f t="shared" si="24"/>
        <v>1.34</v>
      </c>
    </row>
    <row r="648" spans="1:7" ht="15">
      <c r="A648" s="169"/>
      <c r="B648" s="201" t="s">
        <v>463</v>
      </c>
      <c r="C648" s="170" t="s">
        <v>464</v>
      </c>
      <c r="D648" s="88" t="s">
        <v>11</v>
      </c>
      <c r="E648" s="88">
        <v>0.025</v>
      </c>
      <c r="F648" s="88">
        <f>TRUNC(65.7793,2)</f>
        <v>65.77</v>
      </c>
      <c r="G648" s="172">
        <f t="shared" si="24"/>
        <v>1.64</v>
      </c>
    </row>
    <row r="649" spans="1:7" ht="15">
      <c r="A649" s="169"/>
      <c r="B649" s="201" t="s">
        <v>465</v>
      </c>
      <c r="C649" s="170" t="s">
        <v>466</v>
      </c>
      <c r="D649" s="88" t="s">
        <v>11</v>
      </c>
      <c r="E649" s="88">
        <v>0.025</v>
      </c>
      <c r="F649" s="88">
        <f>TRUNC(73.0642,2)</f>
        <v>73.06</v>
      </c>
      <c r="G649" s="172">
        <f t="shared" si="24"/>
        <v>1.82</v>
      </c>
    </row>
    <row r="650" spans="1:7" ht="15">
      <c r="A650" s="169"/>
      <c r="B650" s="201" t="s">
        <v>467</v>
      </c>
      <c r="C650" s="170" t="s">
        <v>468</v>
      </c>
      <c r="D650" s="88" t="s">
        <v>0</v>
      </c>
      <c r="E650" s="88">
        <v>0.5</v>
      </c>
      <c r="F650" s="88">
        <f>TRUNC(55.5435,2)</f>
        <v>55.54</v>
      </c>
      <c r="G650" s="172">
        <f t="shared" si="24"/>
        <v>27.77</v>
      </c>
    </row>
    <row r="651" spans="1:7" ht="15">
      <c r="A651" s="169"/>
      <c r="B651" s="201" t="s">
        <v>121</v>
      </c>
      <c r="C651" s="170" t="s">
        <v>122</v>
      </c>
      <c r="D651" s="88" t="s">
        <v>11</v>
      </c>
      <c r="E651" s="88">
        <v>0.025</v>
      </c>
      <c r="F651" s="88">
        <f>TRUNC(209.7567,2)</f>
        <v>209.75</v>
      </c>
      <c r="G651" s="172">
        <f t="shared" si="24"/>
        <v>5.24</v>
      </c>
    </row>
    <row r="652" spans="1:7" ht="15">
      <c r="A652" s="169"/>
      <c r="B652" s="201" t="s">
        <v>469</v>
      </c>
      <c r="C652" s="170" t="s">
        <v>470</v>
      </c>
      <c r="D652" s="88" t="s">
        <v>11</v>
      </c>
      <c r="E652" s="88">
        <v>0.0008</v>
      </c>
      <c r="F652" s="88">
        <f>TRUNC(262.1498,2)</f>
        <v>262.14</v>
      </c>
      <c r="G652" s="172">
        <f t="shared" si="24"/>
        <v>0.2</v>
      </c>
    </row>
    <row r="653" spans="1:7" ht="15">
      <c r="A653" s="169"/>
      <c r="B653" s="201"/>
      <c r="C653" s="170"/>
      <c r="D653" s="88"/>
      <c r="E653" s="88" t="s">
        <v>6</v>
      </c>
      <c r="F653" s="88"/>
      <c r="G653" s="172">
        <f>TRUNC(SUM(G647:G652),2)</f>
        <v>38.01</v>
      </c>
    </row>
    <row r="654" spans="1:8" ht="45.75">
      <c r="A654" s="65" t="s">
        <v>247</v>
      </c>
      <c r="B654" s="202" t="s">
        <v>952</v>
      </c>
      <c r="C654" s="66" t="s">
        <v>918</v>
      </c>
      <c r="D654" s="67" t="s">
        <v>0</v>
      </c>
      <c r="E654" s="68">
        <v>8.3</v>
      </c>
      <c r="F654" s="69">
        <v>68.25</v>
      </c>
      <c r="G654" s="70">
        <f>TRUNC((E654*F654),2)</f>
        <v>566.47</v>
      </c>
      <c r="H654" s="9">
        <f>TRUNC((F654*1.2338),2)</f>
        <v>84.2</v>
      </c>
    </row>
    <row r="655" spans="1:10" ht="45">
      <c r="A655" s="51" t="s">
        <v>41</v>
      </c>
      <c r="B655" s="52" t="s">
        <v>908</v>
      </c>
      <c r="C655" s="35" t="s">
        <v>909</v>
      </c>
      <c r="D655" s="36" t="s">
        <v>0</v>
      </c>
      <c r="E655" s="203">
        <v>1</v>
      </c>
      <c r="F655" s="37">
        <f>G664</f>
        <v>66.64</v>
      </c>
      <c r="G655" s="38">
        <f aca="true" t="shared" si="25" ref="G655:G663">TRUNC(E655*F655,2)</f>
        <v>66.64</v>
      </c>
      <c r="H655" s="9"/>
      <c r="J655" s="126"/>
    </row>
    <row r="656" spans="1:8" ht="30">
      <c r="A656" s="60"/>
      <c r="B656" s="61" t="s">
        <v>904</v>
      </c>
      <c r="C656" s="31" t="s">
        <v>905</v>
      </c>
      <c r="D656" s="32" t="s">
        <v>0</v>
      </c>
      <c r="E656" s="336">
        <v>1.1224</v>
      </c>
      <c r="F656" s="33">
        <f>TRUNC(16.83,2)</f>
        <v>16.83</v>
      </c>
      <c r="G656" s="34">
        <f t="shared" si="25"/>
        <v>18.88</v>
      </c>
      <c r="H656" s="9"/>
    </row>
    <row r="657" spans="1:8" ht="30">
      <c r="A657" s="60"/>
      <c r="B657" s="61" t="s">
        <v>910</v>
      </c>
      <c r="C657" s="31" t="s">
        <v>809</v>
      </c>
      <c r="D657" s="32" t="s">
        <v>10</v>
      </c>
      <c r="E657" s="204">
        <v>0.2</v>
      </c>
      <c r="F657" s="33">
        <f>TRUNC(1.45,2)</f>
        <v>1.45</v>
      </c>
      <c r="G657" s="34">
        <f t="shared" si="25"/>
        <v>0.29</v>
      </c>
      <c r="H657" s="9"/>
    </row>
    <row r="658" spans="1:8" ht="30">
      <c r="A658" s="60"/>
      <c r="B658" s="61" t="s">
        <v>911</v>
      </c>
      <c r="C658" s="31" t="s">
        <v>912</v>
      </c>
      <c r="D658" s="32" t="s">
        <v>10</v>
      </c>
      <c r="E658" s="204">
        <v>0.25</v>
      </c>
      <c r="F658" s="33">
        <f>TRUNC(7.32,2)</f>
        <v>7.32</v>
      </c>
      <c r="G658" s="34">
        <f t="shared" si="25"/>
        <v>1.83</v>
      </c>
      <c r="H658" s="9"/>
    </row>
    <row r="659" spans="1:8" ht="15.75">
      <c r="A659" s="60"/>
      <c r="B659" s="61" t="s">
        <v>913</v>
      </c>
      <c r="C659" s="31" t="s">
        <v>914</v>
      </c>
      <c r="D659" s="32" t="s">
        <v>0</v>
      </c>
      <c r="E659" s="336">
        <v>1.128</v>
      </c>
      <c r="F659" s="33">
        <f>TRUNC(0.85,2)</f>
        <v>0.85</v>
      </c>
      <c r="G659" s="34">
        <f t="shared" si="25"/>
        <v>0.95</v>
      </c>
      <c r="H659" s="9"/>
    </row>
    <row r="660" spans="1:8" s="133" customFormat="1" ht="15.75">
      <c r="A660" s="54"/>
      <c r="B660" s="105" t="s">
        <v>906</v>
      </c>
      <c r="C660" s="55" t="s">
        <v>2</v>
      </c>
      <c r="D660" s="56" t="s">
        <v>3</v>
      </c>
      <c r="E660" s="336">
        <f>0.4572*7/8</f>
        <v>0.40005</v>
      </c>
      <c r="F660" s="57">
        <f>TRUNC(21.25,2)</f>
        <v>21.25</v>
      </c>
      <c r="G660" s="58">
        <f t="shared" si="25"/>
        <v>8.5</v>
      </c>
      <c r="H660" s="59"/>
    </row>
    <row r="661" spans="1:8" s="133" customFormat="1" ht="15.75">
      <c r="A661" s="54"/>
      <c r="B661" s="105" t="s">
        <v>907</v>
      </c>
      <c r="C661" s="55" t="s">
        <v>53</v>
      </c>
      <c r="D661" s="56" t="s">
        <v>3</v>
      </c>
      <c r="E661" s="336">
        <f>0.2767*7/8</f>
        <v>0.2421125</v>
      </c>
      <c r="F661" s="57">
        <f>TRUNC(26.96,2)</f>
        <v>26.96</v>
      </c>
      <c r="G661" s="58">
        <f t="shared" si="25"/>
        <v>6.52</v>
      </c>
      <c r="H661" s="59"/>
    </row>
    <row r="662" spans="1:8" s="133" customFormat="1" ht="15.75">
      <c r="A662" s="54"/>
      <c r="B662" s="105" t="s">
        <v>915</v>
      </c>
      <c r="C662" s="55" t="s">
        <v>12</v>
      </c>
      <c r="D662" s="56" t="s">
        <v>3</v>
      </c>
      <c r="E662" s="336">
        <f>0.1805*7/8</f>
        <v>0.1579375</v>
      </c>
      <c r="F662" s="57">
        <f>TRUNC(26.57,2)</f>
        <v>26.57</v>
      </c>
      <c r="G662" s="58">
        <f t="shared" si="25"/>
        <v>4.19</v>
      </c>
      <c r="H662" s="59"/>
    </row>
    <row r="663" spans="1:8" ht="31.5">
      <c r="A663" s="54"/>
      <c r="B663" s="105" t="s">
        <v>916</v>
      </c>
      <c r="C663" s="55" t="s">
        <v>917</v>
      </c>
      <c r="D663" s="56" t="s">
        <v>11</v>
      </c>
      <c r="E663" s="336">
        <f>0.097*7/8</f>
        <v>0.084875</v>
      </c>
      <c r="F663" s="57">
        <f>TRUNC(300.22,2)</f>
        <v>300.22</v>
      </c>
      <c r="G663" s="58">
        <f t="shared" si="25"/>
        <v>25.48</v>
      </c>
      <c r="H663" s="9"/>
    </row>
    <row r="664" spans="1:8" ht="15">
      <c r="A664" s="60"/>
      <c r="B664" s="61"/>
      <c r="C664" s="31"/>
      <c r="D664" s="32"/>
      <c r="E664" s="204" t="s">
        <v>6</v>
      </c>
      <c r="F664" s="33"/>
      <c r="G664" s="34">
        <f>TRUNC(SUM(G656:G663),2)</f>
        <v>66.64</v>
      </c>
      <c r="H664" s="9"/>
    </row>
    <row r="665" spans="1:8" ht="45">
      <c r="A665" s="65" t="s">
        <v>891</v>
      </c>
      <c r="B665" s="202" t="s">
        <v>919</v>
      </c>
      <c r="C665" s="66" t="s">
        <v>938</v>
      </c>
      <c r="D665" s="67" t="s">
        <v>0</v>
      </c>
      <c r="E665" s="68">
        <v>1.25</v>
      </c>
      <c r="F665" s="69">
        <f>TRUNC(F666,2)</f>
        <v>123.34</v>
      </c>
      <c r="G665" s="70">
        <f>TRUNC((E665*F665),2)</f>
        <v>154.17</v>
      </c>
      <c r="H665" s="9">
        <f>TRUNC((F665*1.2338),2)</f>
        <v>152.17</v>
      </c>
    </row>
    <row r="666" spans="1:8" ht="60">
      <c r="A666" s="51" t="s">
        <v>41</v>
      </c>
      <c r="B666" s="52" t="s">
        <v>919</v>
      </c>
      <c r="C666" s="35" t="s">
        <v>920</v>
      </c>
      <c r="D666" s="36" t="s">
        <v>0</v>
      </c>
      <c r="E666" s="203">
        <v>1</v>
      </c>
      <c r="F666" s="37">
        <f>G674</f>
        <v>123.34</v>
      </c>
      <c r="G666" s="38">
        <f aca="true" t="shared" si="26" ref="G666:G673">TRUNC(E666*F666,2)</f>
        <v>123.34</v>
      </c>
      <c r="H666" s="9"/>
    </row>
    <row r="667" spans="1:8" ht="30">
      <c r="A667" s="60"/>
      <c r="B667" s="61" t="s">
        <v>921</v>
      </c>
      <c r="C667" s="31" t="s">
        <v>922</v>
      </c>
      <c r="D667" s="32" t="s">
        <v>0</v>
      </c>
      <c r="E667" s="204">
        <v>1.05</v>
      </c>
      <c r="F667" s="33">
        <f>TRUNC(63,2)</f>
        <v>63</v>
      </c>
      <c r="G667" s="34">
        <f t="shared" si="26"/>
        <v>66.15</v>
      </c>
      <c r="H667" s="9"/>
    </row>
    <row r="668" spans="1:8" ht="15">
      <c r="A668" s="60"/>
      <c r="B668" s="61" t="s">
        <v>923</v>
      </c>
      <c r="C668" s="31" t="s">
        <v>924</v>
      </c>
      <c r="D668" s="32" t="s">
        <v>17</v>
      </c>
      <c r="E668" s="204">
        <v>0.1</v>
      </c>
      <c r="F668" s="33">
        <f>TRUNC(34,2)</f>
        <v>34</v>
      </c>
      <c r="G668" s="34">
        <f t="shared" si="26"/>
        <v>3.4</v>
      </c>
      <c r="H668" s="9"/>
    </row>
    <row r="669" spans="1:8" ht="15">
      <c r="A669" s="60"/>
      <c r="B669" s="61" t="s">
        <v>925</v>
      </c>
      <c r="C669" s="31" t="s">
        <v>926</v>
      </c>
      <c r="D669" s="32" t="s">
        <v>17</v>
      </c>
      <c r="E669" s="204">
        <v>0.1</v>
      </c>
      <c r="F669" s="33">
        <f>TRUNC(1.84,2)</f>
        <v>1.84</v>
      </c>
      <c r="G669" s="34">
        <f t="shared" si="26"/>
        <v>0.18</v>
      </c>
      <c r="H669" s="9"/>
    </row>
    <row r="670" spans="1:8" ht="30">
      <c r="A670" s="60"/>
      <c r="B670" s="61" t="s">
        <v>7</v>
      </c>
      <c r="C670" s="31" t="s">
        <v>8</v>
      </c>
      <c r="D670" s="32" t="s">
        <v>3</v>
      </c>
      <c r="E670" s="204">
        <v>1.1330000000000002</v>
      </c>
      <c r="F670" s="33">
        <f>TRUNC(14.47,2)</f>
        <v>14.47</v>
      </c>
      <c r="G670" s="34">
        <f t="shared" si="26"/>
        <v>16.39</v>
      </c>
      <c r="H670" s="9"/>
    </row>
    <row r="671" spans="1:8" ht="15">
      <c r="A671" s="60"/>
      <c r="B671" s="61" t="s">
        <v>927</v>
      </c>
      <c r="C671" s="31" t="s">
        <v>928</v>
      </c>
      <c r="D671" s="32" t="s">
        <v>3</v>
      </c>
      <c r="E671" s="204">
        <v>1.1330000000000002</v>
      </c>
      <c r="F671" s="33">
        <f>TRUNC(21.49,2)</f>
        <v>21.49</v>
      </c>
      <c r="G671" s="34">
        <f t="shared" si="26"/>
        <v>24.34</v>
      </c>
      <c r="H671" s="9"/>
    </row>
    <row r="672" spans="1:8" ht="15">
      <c r="A672" s="60"/>
      <c r="B672" s="61" t="s">
        <v>929</v>
      </c>
      <c r="C672" s="31" t="s">
        <v>930</v>
      </c>
      <c r="D672" s="32" t="s">
        <v>11</v>
      </c>
      <c r="E672" s="204">
        <v>0.035</v>
      </c>
      <c r="F672" s="33">
        <f>TRUNC(335.9636,2)</f>
        <v>335.96</v>
      </c>
      <c r="G672" s="34">
        <f t="shared" si="26"/>
        <v>11.75</v>
      </c>
      <c r="H672" s="9"/>
    </row>
    <row r="673" spans="1:8" ht="15">
      <c r="A673" s="60"/>
      <c r="B673" s="61" t="s">
        <v>931</v>
      </c>
      <c r="C673" s="31" t="s">
        <v>932</v>
      </c>
      <c r="D673" s="32" t="s">
        <v>11</v>
      </c>
      <c r="E673" s="204">
        <v>0.002</v>
      </c>
      <c r="F673" s="33">
        <f>TRUNC(567.8869,2)</f>
        <v>567.88</v>
      </c>
      <c r="G673" s="34">
        <f t="shared" si="26"/>
        <v>1.13</v>
      </c>
      <c r="H673" s="9"/>
    </row>
    <row r="674" spans="1:8" ht="15">
      <c r="A674" s="60"/>
      <c r="B674" s="61"/>
      <c r="C674" s="31"/>
      <c r="D674" s="32"/>
      <c r="E674" s="204" t="s">
        <v>6</v>
      </c>
      <c r="F674" s="33"/>
      <c r="G674" s="34">
        <f>TRUNC(SUM(G667:G673),2)</f>
        <v>123.34</v>
      </c>
      <c r="H674" s="9"/>
    </row>
    <row r="675" spans="1:8" ht="45">
      <c r="A675" s="65" t="s">
        <v>892</v>
      </c>
      <c r="B675" s="202" t="s">
        <v>933</v>
      </c>
      <c r="C675" s="66" t="s">
        <v>937</v>
      </c>
      <c r="D675" s="67" t="s">
        <v>0</v>
      </c>
      <c r="E675" s="68">
        <v>1.19</v>
      </c>
      <c r="F675" s="69">
        <f>G684</f>
        <v>123.34</v>
      </c>
      <c r="G675" s="70">
        <f>TRUNC((E675*F675),2)</f>
        <v>146.77</v>
      </c>
      <c r="H675" s="9">
        <f>TRUNC((F675*1.2338),2)</f>
        <v>152.17</v>
      </c>
    </row>
    <row r="676" spans="1:8" ht="60">
      <c r="A676" s="51" t="s">
        <v>41</v>
      </c>
      <c r="B676" s="52" t="s">
        <v>933</v>
      </c>
      <c r="C676" s="35" t="s">
        <v>934</v>
      </c>
      <c r="D676" s="36" t="s">
        <v>0</v>
      </c>
      <c r="E676" s="203">
        <v>1</v>
      </c>
      <c r="F676" s="37">
        <f>TRUNC(123.3711798,2)</f>
        <v>123.37</v>
      </c>
      <c r="G676" s="38">
        <f aca="true" t="shared" si="27" ref="G676:G683">TRUNC(E676*F676,2)</f>
        <v>123.37</v>
      </c>
      <c r="H676" s="9"/>
    </row>
    <row r="677" spans="1:8" ht="30">
      <c r="A677" s="60"/>
      <c r="B677" s="61" t="s">
        <v>935</v>
      </c>
      <c r="C677" s="31" t="s">
        <v>936</v>
      </c>
      <c r="D677" s="32" t="s">
        <v>0</v>
      </c>
      <c r="E677" s="204">
        <v>1.05</v>
      </c>
      <c r="F677" s="33">
        <f>TRUNC(63,2)</f>
        <v>63</v>
      </c>
      <c r="G677" s="34">
        <f t="shared" si="27"/>
        <v>66.15</v>
      </c>
      <c r="H677" s="9"/>
    </row>
    <row r="678" spans="1:8" ht="15">
      <c r="A678" s="60"/>
      <c r="B678" s="61" t="s">
        <v>923</v>
      </c>
      <c r="C678" s="31" t="s">
        <v>924</v>
      </c>
      <c r="D678" s="32" t="s">
        <v>17</v>
      </c>
      <c r="E678" s="204">
        <v>0.1</v>
      </c>
      <c r="F678" s="33">
        <f>TRUNC(34,2)</f>
        <v>34</v>
      </c>
      <c r="G678" s="34">
        <f t="shared" si="27"/>
        <v>3.4</v>
      </c>
      <c r="H678" s="9"/>
    </row>
    <row r="679" spans="1:8" ht="15">
      <c r="A679" s="60"/>
      <c r="B679" s="61" t="s">
        <v>925</v>
      </c>
      <c r="C679" s="31" t="s">
        <v>926</v>
      </c>
      <c r="D679" s="32" t="s">
        <v>17</v>
      </c>
      <c r="E679" s="204">
        <v>0.1</v>
      </c>
      <c r="F679" s="33">
        <f>TRUNC(1.84,2)</f>
        <v>1.84</v>
      </c>
      <c r="G679" s="34">
        <f t="shared" si="27"/>
        <v>0.18</v>
      </c>
      <c r="H679" s="9"/>
    </row>
    <row r="680" spans="1:8" ht="30">
      <c r="A680" s="60"/>
      <c r="B680" s="61" t="s">
        <v>7</v>
      </c>
      <c r="C680" s="31" t="s">
        <v>8</v>
      </c>
      <c r="D680" s="32" t="s">
        <v>3</v>
      </c>
      <c r="E680" s="204">
        <v>1.1330000000000002</v>
      </c>
      <c r="F680" s="33">
        <f>TRUNC(14.47,2)</f>
        <v>14.47</v>
      </c>
      <c r="G680" s="34">
        <f t="shared" si="27"/>
        <v>16.39</v>
      </c>
      <c r="H680" s="9"/>
    </row>
    <row r="681" spans="1:8" ht="15">
      <c r="A681" s="60"/>
      <c r="B681" s="61" t="s">
        <v>927</v>
      </c>
      <c r="C681" s="31" t="s">
        <v>928</v>
      </c>
      <c r="D681" s="32" t="s">
        <v>3</v>
      </c>
      <c r="E681" s="204">
        <v>1.1330000000000002</v>
      </c>
      <c r="F681" s="33">
        <f>TRUNC(21.49,2)</f>
        <v>21.49</v>
      </c>
      <c r="G681" s="34">
        <f t="shared" si="27"/>
        <v>24.34</v>
      </c>
      <c r="H681" s="9"/>
    </row>
    <row r="682" spans="1:8" ht="15">
      <c r="A682" s="60"/>
      <c r="B682" s="61" t="s">
        <v>929</v>
      </c>
      <c r="C682" s="31" t="s">
        <v>930</v>
      </c>
      <c r="D682" s="32" t="s">
        <v>11</v>
      </c>
      <c r="E682" s="204">
        <v>0.035</v>
      </c>
      <c r="F682" s="33">
        <f>TRUNC(335.9636,2)</f>
        <v>335.96</v>
      </c>
      <c r="G682" s="34">
        <f t="shared" si="27"/>
        <v>11.75</v>
      </c>
      <c r="H682" s="9"/>
    </row>
    <row r="683" spans="1:8" ht="15">
      <c r="A683" s="60"/>
      <c r="B683" s="61" t="s">
        <v>931</v>
      </c>
      <c r="C683" s="31" t="s">
        <v>932</v>
      </c>
      <c r="D683" s="32" t="s">
        <v>11</v>
      </c>
      <c r="E683" s="204">
        <v>0.002</v>
      </c>
      <c r="F683" s="33">
        <f>TRUNC(567.8869,2)</f>
        <v>567.88</v>
      </c>
      <c r="G683" s="34">
        <f t="shared" si="27"/>
        <v>1.13</v>
      </c>
      <c r="H683" s="9"/>
    </row>
    <row r="684" spans="1:8" ht="15">
      <c r="A684" s="60"/>
      <c r="B684" s="61"/>
      <c r="C684" s="31"/>
      <c r="D684" s="32"/>
      <c r="E684" s="204" t="s">
        <v>6</v>
      </c>
      <c r="F684" s="33"/>
      <c r="G684" s="34">
        <f>TRUNC(SUM(G677:G683),2)</f>
        <v>123.34</v>
      </c>
      <c r="H684" s="9"/>
    </row>
    <row r="685" spans="1:8" ht="75">
      <c r="A685" s="65" t="s">
        <v>893</v>
      </c>
      <c r="B685" s="202" t="s">
        <v>941</v>
      </c>
      <c r="C685" s="66" t="s">
        <v>943</v>
      </c>
      <c r="D685" s="67" t="s">
        <v>0</v>
      </c>
      <c r="E685" s="68">
        <v>5.86</v>
      </c>
      <c r="F685" s="69">
        <v>50.02</v>
      </c>
      <c r="G685" s="70">
        <f>TRUNC((E685*F685),2)</f>
        <v>293.11</v>
      </c>
      <c r="H685" s="9">
        <f>TRUNC((F685*1.2338),2)</f>
        <v>61.71</v>
      </c>
    </row>
    <row r="686" spans="1:8" ht="75">
      <c r="A686" s="51" t="s">
        <v>41</v>
      </c>
      <c r="B686" s="52" t="s">
        <v>941</v>
      </c>
      <c r="C686" s="35" t="s">
        <v>942</v>
      </c>
      <c r="D686" s="36" t="s">
        <v>0</v>
      </c>
      <c r="E686" s="203">
        <v>1</v>
      </c>
      <c r="F686" s="37">
        <f>G691</f>
        <v>50.93</v>
      </c>
      <c r="G686" s="38">
        <f>TRUNC(E686*F686,2)</f>
        <v>50.93</v>
      </c>
      <c r="H686" s="9"/>
    </row>
    <row r="687" spans="1:8" ht="15">
      <c r="A687" s="60"/>
      <c r="B687" s="61" t="s">
        <v>939</v>
      </c>
      <c r="C687" s="31" t="s">
        <v>940</v>
      </c>
      <c r="D687" s="32" t="s">
        <v>17</v>
      </c>
      <c r="E687" s="204">
        <v>0.4</v>
      </c>
      <c r="F687" s="33">
        <f>TRUNC(4.09,2)</f>
        <v>4.09</v>
      </c>
      <c r="G687" s="34">
        <f>TRUNC(E687*F687,2)</f>
        <v>1.63</v>
      </c>
      <c r="H687" s="9"/>
    </row>
    <row r="688" spans="1:8" ht="30">
      <c r="A688" s="60"/>
      <c r="B688" s="61" t="s">
        <v>7</v>
      </c>
      <c r="C688" s="31" t="s">
        <v>8</v>
      </c>
      <c r="D688" s="32" t="s">
        <v>3</v>
      </c>
      <c r="E688" s="204">
        <v>1.1330000000000002</v>
      </c>
      <c r="F688" s="33">
        <f>TRUNC(14.47,2)</f>
        <v>14.47</v>
      </c>
      <c r="G688" s="34">
        <f>TRUNC(E688*F688,2)</f>
        <v>16.39</v>
      </c>
      <c r="H688" s="9"/>
    </row>
    <row r="689" spans="1:8" ht="15">
      <c r="A689" s="60"/>
      <c r="B689" s="61" t="s">
        <v>135</v>
      </c>
      <c r="C689" s="31" t="s">
        <v>136</v>
      </c>
      <c r="D689" s="32" t="s">
        <v>3</v>
      </c>
      <c r="E689" s="204">
        <v>1.236</v>
      </c>
      <c r="F689" s="33">
        <f>TRUNC(19.97,2)</f>
        <v>19.97</v>
      </c>
      <c r="G689" s="34">
        <f>TRUNC(E689*F689,2)</f>
        <v>24.68</v>
      </c>
      <c r="H689" s="9"/>
    </row>
    <row r="690" spans="1:8" ht="15">
      <c r="A690" s="60"/>
      <c r="B690" s="61" t="s">
        <v>139</v>
      </c>
      <c r="C690" s="31" t="s">
        <v>140</v>
      </c>
      <c r="D690" s="32" t="s">
        <v>11</v>
      </c>
      <c r="E690" s="204">
        <v>0.03</v>
      </c>
      <c r="F690" s="33">
        <f>TRUNC(274.6456,2)</f>
        <v>274.64</v>
      </c>
      <c r="G690" s="34">
        <f>TRUNC(E690*F690,2)</f>
        <v>8.23</v>
      </c>
      <c r="H690" s="9"/>
    </row>
    <row r="691" spans="1:8" ht="15">
      <c r="A691" s="81"/>
      <c r="B691" s="100"/>
      <c r="C691" s="85"/>
      <c r="D691" s="86"/>
      <c r="E691" s="309" t="s">
        <v>6</v>
      </c>
      <c r="F691" s="82"/>
      <c r="G691" s="83">
        <f>TRUNC(SUM(G687:G690),2)</f>
        <v>50.93</v>
      </c>
      <c r="H691" s="9"/>
    </row>
    <row r="692" spans="1:8" ht="15.75">
      <c r="A692" s="106" t="s">
        <v>41</v>
      </c>
      <c r="B692" s="107"/>
      <c r="C692" s="108"/>
      <c r="D692" s="109"/>
      <c r="E692" s="378" t="s">
        <v>251</v>
      </c>
      <c r="F692" s="378"/>
      <c r="G692" s="110">
        <f>G638+G645+G654+G665+G675+G685</f>
        <v>1545.6799999999998</v>
      </c>
      <c r="H692" s="9"/>
    </row>
    <row r="693" spans="1:8" ht="15.75">
      <c r="A693" s="44" t="s">
        <v>944</v>
      </c>
      <c r="B693" s="44"/>
      <c r="C693" s="45" t="s">
        <v>105</v>
      </c>
      <c r="D693" s="149"/>
      <c r="E693" s="46"/>
      <c r="F693" s="47"/>
      <c r="G693" s="48"/>
      <c r="H693" s="9"/>
    </row>
    <row r="694" spans="1:9" ht="30">
      <c r="A694" s="63" t="s">
        <v>945</v>
      </c>
      <c r="B694" s="215" t="s">
        <v>296</v>
      </c>
      <c r="C694" s="27" t="s">
        <v>297</v>
      </c>
      <c r="D694" s="28" t="s">
        <v>11</v>
      </c>
      <c r="E694" s="64">
        <v>209.86</v>
      </c>
      <c r="F694" s="29">
        <v>4.09</v>
      </c>
      <c r="G694" s="30">
        <f>TRUNC((E694*F694),2)</f>
        <v>858.32</v>
      </c>
      <c r="H694" s="9">
        <f>TRUNC((F694*1.2338),2)</f>
        <v>5.04</v>
      </c>
      <c r="I694" s="1" t="s">
        <v>520</v>
      </c>
    </row>
    <row r="695" spans="1:8" ht="30">
      <c r="A695" s="218" t="s">
        <v>64</v>
      </c>
      <c r="B695" s="219" t="s">
        <v>296</v>
      </c>
      <c r="C695" s="170" t="s">
        <v>297</v>
      </c>
      <c r="D695" s="31" t="s">
        <v>11</v>
      </c>
      <c r="E695" s="32">
        <v>1</v>
      </c>
      <c r="F695" s="62">
        <f>G699</f>
        <v>4.1</v>
      </c>
      <c r="G695" s="34">
        <f>TRUNC(E695*F695,2)</f>
        <v>4.1</v>
      </c>
      <c r="H695" s="9"/>
    </row>
    <row r="696" spans="1:9" ht="15">
      <c r="A696" s="169"/>
      <c r="B696" s="219" t="s">
        <v>1</v>
      </c>
      <c r="C696" s="170" t="s">
        <v>2</v>
      </c>
      <c r="D696" s="31" t="s">
        <v>3</v>
      </c>
      <c r="E696" s="32">
        <v>0.018</v>
      </c>
      <c r="F696" s="62">
        <f>TRUNC(21.24,2)</f>
        <v>21.24</v>
      </c>
      <c r="G696" s="34">
        <f>TRUNC(E696*F696,2)</f>
        <v>0.38</v>
      </c>
      <c r="H696" s="9"/>
      <c r="I696" s="1">
        <f>8786.9*0.05*1.3</f>
        <v>571.1485</v>
      </c>
    </row>
    <row r="697" spans="1:9" ht="45">
      <c r="A697" s="169"/>
      <c r="B697" s="219" t="s">
        <v>623</v>
      </c>
      <c r="C697" s="170" t="s">
        <v>783</v>
      </c>
      <c r="D697" s="31" t="s">
        <v>5</v>
      </c>
      <c r="E697" s="32">
        <v>0.018</v>
      </c>
      <c r="F697" s="62">
        <f>TRUNC(142.11,2)</f>
        <v>142.11</v>
      </c>
      <c r="G697" s="34">
        <f>TRUNC(E697*F697,2)</f>
        <v>2.55</v>
      </c>
      <c r="H697" s="9"/>
      <c r="I697" s="1">
        <f>3.81*1.3</f>
        <v>4.953</v>
      </c>
    </row>
    <row r="698" spans="1:9" ht="45">
      <c r="A698" s="169"/>
      <c r="B698" s="219" t="s">
        <v>624</v>
      </c>
      <c r="C698" s="170" t="s">
        <v>784</v>
      </c>
      <c r="D698" s="31" t="s">
        <v>5</v>
      </c>
      <c r="E698" s="32">
        <v>0.007</v>
      </c>
      <c r="F698" s="62">
        <f>TRUNC(168.43,2)</f>
        <v>168.43</v>
      </c>
      <c r="G698" s="34">
        <f>TRUNC(E698*F698,2)</f>
        <v>1.17</v>
      </c>
      <c r="H698" s="9"/>
      <c r="I698" s="1">
        <f>(E152-E158)*1.3</f>
        <v>199.23800000000006</v>
      </c>
    </row>
    <row r="699" spans="1:9" ht="15">
      <c r="A699" s="173"/>
      <c r="B699" s="220"/>
      <c r="C699" s="174"/>
      <c r="D699" s="85"/>
      <c r="E699" s="86" t="s">
        <v>6</v>
      </c>
      <c r="F699" s="87"/>
      <c r="G699" s="83">
        <f>TRUNC(SUM(G696:G698),2)</f>
        <v>4.1</v>
      </c>
      <c r="H699" s="9"/>
      <c r="I699" s="1">
        <f>5.4*1.3</f>
        <v>7.0200000000000005</v>
      </c>
    </row>
    <row r="700" spans="1:9" ht="45">
      <c r="A700" s="75" t="s">
        <v>946</v>
      </c>
      <c r="B700" s="221" t="s">
        <v>294</v>
      </c>
      <c r="C700" s="77" t="s">
        <v>298</v>
      </c>
      <c r="D700" s="76" t="s">
        <v>295</v>
      </c>
      <c r="E700" s="78">
        <f>209.86*11</f>
        <v>2308.46</v>
      </c>
      <c r="F700" s="79">
        <v>1.13</v>
      </c>
      <c r="G700" s="80">
        <f>TRUNC((E700*F700),2)</f>
        <v>2608.55</v>
      </c>
      <c r="H700" s="9">
        <f>TRUNC((F700*1.2338),2)</f>
        <v>1.39</v>
      </c>
      <c r="I700" s="1" t="s">
        <v>520</v>
      </c>
    </row>
    <row r="701" spans="1:8" ht="30">
      <c r="A701" s="60"/>
      <c r="B701" s="211" t="s">
        <v>294</v>
      </c>
      <c r="C701" s="31" t="s">
        <v>625</v>
      </c>
      <c r="D701" s="32" t="s">
        <v>295</v>
      </c>
      <c r="E701" s="62">
        <v>1</v>
      </c>
      <c r="F701" s="33">
        <f>G704</f>
        <v>1.14</v>
      </c>
      <c r="G701" s="34">
        <f>TRUNC(E701*F701,2)</f>
        <v>1.14</v>
      </c>
      <c r="H701" s="9"/>
    </row>
    <row r="702" spans="1:8" ht="45">
      <c r="A702" s="60"/>
      <c r="B702" s="211" t="s">
        <v>626</v>
      </c>
      <c r="C702" s="31" t="s">
        <v>785</v>
      </c>
      <c r="D702" s="32" t="s">
        <v>4</v>
      </c>
      <c r="E702" s="62">
        <v>0.00156</v>
      </c>
      <c r="F702" s="33">
        <f>TRUNC(39.7,2)</f>
        <v>39.7</v>
      </c>
      <c r="G702" s="34">
        <f>TRUNC(E702*F702,2)</f>
        <v>0.06</v>
      </c>
      <c r="H702" s="9"/>
    </row>
    <row r="703" spans="1:8" ht="60">
      <c r="A703" s="60"/>
      <c r="B703" s="211" t="s">
        <v>627</v>
      </c>
      <c r="C703" s="31" t="s">
        <v>786</v>
      </c>
      <c r="D703" s="32" t="s">
        <v>5</v>
      </c>
      <c r="E703" s="62">
        <v>0.00625</v>
      </c>
      <c r="F703" s="33">
        <f>TRUNC(173.16,2)</f>
        <v>173.16</v>
      </c>
      <c r="G703" s="34">
        <f>TRUNC(E703*F703,2)</f>
        <v>1.08</v>
      </c>
      <c r="H703" s="9"/>
    </row>
    <row r="704" spans="1:8" ht="15">
      <c r="A704" s="60"/>
      <c r="B704" s="211"/>
      <c r="C704" s="31"/>
      <c r="D704" s="32"/>
      <c r="E704" s="62" t="s">
        <v>6</v>
      </c>
      <c r="F704" s="33"/>
      <c r="G704" s="34">
        <f>TRUNC(SUM(G702:G703),2)</f>
        <v>1.14</v>
      </c>
      <c r="H704" s="9"/>
    </row>
    <row r="705" spans="1:8" ht="45">
      <c r="A705" s="63" t="s">
        <v>947</v>
      </c>
      <c r="B705" s="215" t="s">
        <v>951</v>
      </c>
      <c r="C705" s="27" t="s">
        <v>109</v>
      </c>
      <c r="D705" s="28" t="s">
        <v>837</v>
      </c>
      <c r="E705" s="64">
        <f>E694*1.8</f>
        <v>377.74800000000005</v>
      </c>
      <c r="F705" s="29">
        <f>TRUNC(F706,2)</f>
        <v>30</v>
      </c>
      <c r="G705" s="30">
        <f>TRUNC((E705*F705),2)</f>
        <v>11332.44</v>
      </c>
      <c r="H705" s="9">
        <f>TRUNC((F705*1.2338),2)</f>
        <v>37.01</v>
      </c>
    </row>
    <row r="706" spans="1:8" ht="45">
      <c r="A706" s="51" t="s">
        <v>64</v>
      </c>
      <c r="B706" s="209"/>
      <c r="C706" s="35" t="s">
        <v>628</v>
      </c>
      <c r="D706" s="36" t="s">
        <v>837</v>
      </c>
      <c r="E706" s="53">
        <v>1</v>
      </c>
      <c r="F706" s="37">
        <f>G708</f>
        <v>30</v>
      </c>
      <c r="G706" s="38">
        <f>E706*F706</f>
        <v>30</v>
      </c>
      <c r="H706" s="9"/>
    </row>
    <row r="707" spans="1:8" ht="30">
      <c r="A707" s="60"/>
      <c r="B707" s="211" t="s">
        <v>629</v>
      </c>
      <c r="C707" s="31" t="s">
        <v>630</v>
      </c>
      <c r="D707" s="32" t="s">
        <v>837</v>
      </c>
      <c r="E707" s="62">
        <v>1</v>
      </c>
      <c r="F707" s="33">
        <v>30</v>
      </c>
      <c r="G707" s="34">
        <f>E707*F707</f>
        <v>30</v>
      </c>
      <c r="H707" s="9"/>
    </row>
    <row r="708" spans="1:8" ht="15">
      <c r="A708" s="81"/>
      <c r="B708" s="212"/>
      <c r="C708" s="85"/>
      <c r="D708" s="86"/>
      <c r="E708" s="87" t="s">
        <v>6</v>
      </c>
      <c r="F708" s="82"/>
      <c r="G708" s="83">
        <f>SUM(G707:G707)</f>
        <v>30</v>
      </c>
      <c r="H708" s="9"/>
    </row>
    <row r="709" spans="1:8" ht="15.75">
      <c r="A709" s="40" t="s">
        <v>41</v>
      </c>
      <c r="B709" s="73"/>
      <c r="C709" s="41"/>
      <c r="D709" s="42"/>
      <c r="E709" s="377" t="s">
        <v>948</v>
      </c>
      <c r="F709" s="377"/>
      <c r="G709" s="43">
        <f>G694+G700+G705</f>
        <v>14799.310000000001</v>
      </c>
      <c r="H709" s="9"/>
    </row>
    <row r="710" spans="1:8" ht="15.75">
      <c r="A710" s="40" t="s">
        <v>41</v>
      </c>
      <c r="B710" s="73"/>
      <c r="C710" s="41"/>
      <c r="D710" s="42"/>
      <c r="E710" s="377" t="s">
        <v>118</v>
      </c>
      <c r="F710" s="377"/>
      <c r="G710" s="48">
        <f>G100+G150+G304+G356+G586+G602+G625+G636+G692+G709</f>
        <v>555943.7200000001</v>
      </c>
      <c r="H710" s="9"/>
    </row>
    <row r="711" spans="1:8" ht="15.75">
      <c r="A711" s="40" t="s">
        <v>41</v>
      </c>
      <c r="B711" s="73"/>
      <c r="C711" s="379" t="s">
        <v>273</v>
      </c>
      <c r="D711" s="380"/>
      <c r="E711" s="380"/>
      <c r="F711" s="381"/>
      <c r="G711" s="48">
        <f>TRUNC(((G710-G616)*1.2338),2)</f>
        <v>683461.44</v>
      </c>
      <c r="H711" s="9"/>
    </row>
    <row r="712" ht="15">
      <c r="G712" s="126">
        <f>G711+G616*1.1696</f>
        <v>685795.248144</v>
      </c>
    </row>
  </sheetData>
  <sheetProtection/>
  <mergeCells count="25">
    <mergeCell ref="E692:F692"/>
    <mergeCell ref="E625:F625"/>
    <mergeCell ref="E636:F636"/>
    <mergeCell ref="E709:F709"/>
    <mergeCell ref="E710:F710"/>
    <mergeCell ref="C711:F711"/>
    <mergeCell ref="E100:F100"/>
    <mergeCell ref="E150:F150"/>
    <mergeCell ref="E304:F304"/>
    <mergeCell ref="E356:F356"/>
    <mergeCell ref="E586:F586"/>
    <mergeCell ref="E602:F602"/>
    <mergeCell ref="A9:G9"/>
    <mergeCell ref="A10:A11"/>
    <mergeCell ref="B10:B11"/>
    <mergeCell ref="C10:C11"/>
    <mergeCell ref="D10:D11"/>
    <mergeCell ref="E10:E11"/>
    <mergeCell ref="F10:G10"/>
    <mergeCell ref="D3:G3"/>
    <mergeCell ref="D4:G4"/>
    <mergeCell ref="D5:G5"/>
    <mergeCell ref="D6:G6"/>
    <mergeCell ref="D7:G7"/>
    <mergeCell ref="D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48" r:id="rId2"/>
  <headerFooter>
    <oddFooter>&amp;L&amp;14&amp;A&amp;C&amp;14Página &amp;P de &amp;N</oddFooter>
  </headerFooter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8"/>
  <sheetViews>
    <sheetView view="pageBreakPreview" zoomScale="70" zoomScaleNormal="80" zoomScaleSheetLayoutView="70" zoomScalePageLayoutView="0" workbookViewId="0" topLeftCell="A100">
      <selection activeCell="C115" sqref="C115"/>
    </sheetView>
  </sheetViews>
  <sheetFormatPr defaultColWidth="9.140625" defaultRowHeight="15"/>
  <cols>
    <col min="1" max="1" width="9.140625" style="1" customWidth="1"/>
    <col min="2" max="2" width="21.421875" style="1" customWidth="1"/>
    <col min="3" max="3" width="137.140625" style="1" customWidth="1"/>
    <col min="4" max="4" width="9.140625" style="1" customWidth="1"/>
    <col min="5" max="5" width="20.57421875" style="1" customWidth="1"/>
    <col min="6" max="7" width="18.8515625" style="1" customWidth="1"/>
    <col min="8" max="8" width="24.421875" style="1" bestFit="1" customWidth="1"/>
    <col min="9" max="9" width="24.8515625" style="1" bestFit="1" customWidth="1"/>
    <col min="10" max="10" width="19.00390625" style="1" bestFit="1" customWidth="1"/>
    <col min="11" max="11" width="18.7109375" style="322" bestFit="1" customWidth="1"/>
    <col min="12" max="12" width="14.7109375" style="1" bestFit="1" customWidth="1"/>
    <col min="13" max="13" width="13.8515625" style="1" bestFit="1" customWidth="1"/>
    <col min="14" max="14" width="13.8515625" style="1" customWidth="1"/>
    <col min="15" max="15" width="15.28125" style="1" bestFit="1" customWidth="1"/>
    <col min="16" max="16384" width="9.140625" style="1" customWidth="1"/>
  </cols>
  <sheetData>
    <row r="1" spans="1:10" ht="15.75">
      <c r="A1" s="2"/>
      <c r="B1" s="3"/>
      <c r="C1" s="4" t="s">
        <v>25</v>
      </c>
      <c r="D1" s="120"/>
      <c r="E1" s="6"/>
      <c r="F1" s="121"/>
      <c r="G1" s="7"/>
      <c r="H1" s="7"/>
      <c r="I1" s="8"/>
      <c r="J1" s="9"/>
    </row>
    <row r="2" spans="1:10" ht="15.75">
      <c r="A2" s="10"/>
      <c r="B2" s="11"/>
      <c r="C2" s="12" t="s">
        <v>26</v>
      </c>
      <c r="D2" s="119"/>
      <c r="E2" s="14"/>
      <c r="F2" s="122"/>
      <c r="G2" s="15"/>
      <c r="H2" s="15"/>
      <c r="I2" s="16"/>
      <c r="J2" s="9"/>
    </row>
    <row r="3" spans="1:10" ht="15.75">
      <c r="A3" s="10"/>
      <c r="B3" s="11"/>
      <c r="C3" s="12" t="s">
        <v>27</v>
      </c>
      <c r="D3" s="88"/>
      <c r="E3" s="88"/>
      <c r="F3" s="357" t="s">
        <v>712</v>
      </c>
      <c r="G3" s="358"/>
      <c r="H3" s="358"/>
      <c r="I3" s="359"/>
      <c r="J3" s="9"/>
    </row>
    <row r="4" spans="1:10" ht="15.75" customHeight="1">
      <c r="A4" s="10"/>
      <c r="B4" s="11"/>
      <c r="C4" s="17" t="s">
        <v>28</v>
      </c>
      <c r="D4" s="88"/>
      <c r="E4" s="88"/>
      <c r="F4" s="360" t="s">
        <v>889</v>
      </c>
      <c r="G4" s="361"/>
      <c r="H4" s="361"/>
      <c r="I4" s="362"/>
      <c r="J4" s="9"/>
    </row>
    <row r="5" spans="1:10" ht="15.75" customHeight="1">
      <c r="A5" s="10"/>
      <c r="B5" s="11"/>
      <c r="C5" s="17" t="s">
        <v>29</v>
      </c>
      <c r="D5" s="88"/>
      <c r="E5" s="88"/>
      <c r="F5" s="363" t="s">
        <v>339</v>
      </c>
      <c r="G5" s="364"/>
      <c r="H5" s="364"/>
      <c r="I5" s="365"/>
      <c r="J5" s="9"/>
    </row>
    <row r="6" spans="1:10" ht="15.75">
      <c r="A6" s="10"/>
      <c r="B6" s="11"/>
      <c r="C6" s="18" t="s">
        <v>838</v>
      </c>
      <c r="D6" s="88"/>
      <c r="E6" s="88"/>
      <c r="F6" s="366" t="s">
        <v>340</v>
      </c>
      <c r="G6" s="367"/>
      <c r="H6" s="367"/>
      <c r="I6" s="368"/>
      <c r="J6" s="9"/>
    </row>
    <row r="7" spans="1:10" ht="15.75">
      <c r="A7" s="10"/>
      <c r="B7" s="11"/>
      <c r="C7" s="117" t="s">
        <v>274</v>
      </c>
      <c r="D7" s="88"/>
      <c r="E7" s="88"/>
      <c r="F7" s="366" t="s">
        <v>30</v>
      </c>
      <c r="G7" s="367"/>
      <c r="H7" s="367"/>
      <c r="I7" s="368"/>
      <c r="J7" s="9"/>
    </row>
    <row r="8" spans="1:10" ht="15.75">
      <c r="A8" s="19"/>
      <c r="B8" s="20"/>
      <c r="C8" s="21"/>
      <c r="D8" s="99"/>
      <c r="E8" s="99"/>
      <c r="F8" s="369" t="s">
        <v>119</v>
      </c>
      <c r="G8" s="370"/>
      <c r="H8" s="370"/>
      <c r="I8" s="371"/>
      <c r="J8" s="9"/>
    </row>
    <row r="9" spans="1:11" s="137" customFormat="1" ht="30" customHeight="1">
      <c r="A9" s="384" t="s">
        <v>964</v>
      </c>
      <c r="B9" s="384"/>
      <c r="C9" s="384"/>
      <c r="D9" s="384"/>
      <c r="E9" s="384"/>
      <c r="F9" s="384"/>
      <c r="G9" s="384"/>
      <c r="H9" s="384"/>
      <c r="I9" s="384"/>
      <c r="K9" s="338"/>
    </row>
    <row r="10" spans="1:11" s="134" customFormat="1" ht="15.75">
      <c r="A10" s="385" t="s">
        <v>31</v>
      </c>
      <c r="B10" s="387" t="s">
        <v>32</v>
      </c>
      <c r="C10" s="387" t="s">
        <v>33</v>
      </c>
      <c r="D10" s="385" t="s">
        <v>9</v>
      </c>
      <c r="E10" s="389" t="s">
        <v>34</v>
      </c>
      <c r="F10" s="391" t="s">
        <v>35</v>
      </c>
      <c r="G10" s="392"/>
      <c r="H10" s="392"/>
      <c r="I10" s="392"/>
      <c r="J10" s="137">
        <v>0</v>
      </c>
      <c r="K10" s="339"/>
    </row>
    <row r="11" spans="1:11" s="134" customFormat="1" ht="15.75">
      <c r="A11" s="386"/>
      <c r="B11" s="388"/>
      <c r="C11" s="388"/>
      <c r="D11" s="386"/>
      <c r="E11" s="390"/>
      <c r="F11" s="138" t="s">
        <v>36</v>
      </c>
      <c r="G11" s="138" t="s">
        <v>285</v>
      </c>
      <c r="H11" s="145" t="s">
        <v>6</v>
      </c>
      <c r="I11" s="145" t="s">
        <v>286</v>
      </c>
      <c r="J11" s="137"/>
      <c r="K11" s="339"/>
    </row>
    <row r="12" spans="1:11" s="134" customFormat="1" ht="15.75">
      <c r="A12" s="138" t="s">
        <v>37</v>
      </c>
      <c r="B12" s="138"/>
      <c r="C12" s="142" t="s">
        <v>38</v>
      </c>
      <c r="D12" s="138"/>
      <c r="E12" s="146"/>
      <c r="F12" s="138"/>
      <c r="G12" s="138"/>
      <c r="H12" s="145"/>
      <c r="I12" s="147"/>
      <c r="J12" s="137">
        <v>0</v>
      </c>
      <c r="K12" s="339"/>
    </row>
    <row r="13" spans="1:15" ht="15">
      <c r="A13" s="111" t="s">
        <v>39</v>
      </c>
      <c r="B13" s="112" t="s">
        <v>840</v>
      </c>
      <c r="C13" s="123" t="s">
        <v>40</v>
      </c>
      <c r="D13" s="42" t="s">
        <v>0</v>
      </c>
      <c r="E13" s="113">
        <v>6</v>
      </c>
      <c r="F13" s="114">
        <v>362.92</v>
      </c>
      <c r="G13" s="114">
        <f>ROUND((F13*1.2338),2)</f>
        <v>447.77</v>
      </c>
      <c r="H13" s="115">
        <f>ROUND((E13*F13),2)</f>
        <v>2177.52</v>
      </c>
      <c r="I13" s="115">
        <f>ROUND((E13*G13),2)</f>
        <v>2686.62</v>
      </c>
      <c r="J13" s="137">
        <v>447.77</v>
      </c>
      <c r="K13" s="322">
        <f>J13-G13</f>
        <v>0</v>
      </c>
      <c r="L13" s="322"/>
      <c r="M13" s="323"/>
      <c r="N13" s="329"/>
      <c r="O13" s="323"/>
    </row>
    <row r="14" spans="1:15" ht="30">
      <c r="A14" s="111" t="s">
        <v>42</v>
      </c>
      <c r="B14" s="112" t="s">
        <v>841</v>
      </c>
      <c r="C14" s="123" t="s">
        <v>129</v>
      </c>
      <c r="D14" s="42" t="s">
        <v>0</v>
      </c>
      <c r="E14" s="113">
        <v>8786.9</v>
      </c>
      <c r="F14" s="114">
        <v>0.15</v>
      </c>
      <c r="G14" s="114">
        <f aca="true" t="shared" si="0" ref="G14:G19">ROUND((F14*1.2338),2)</f>
        <v>0.19</v>
      </c>
      <c r="H14" s="115">
        <f aca="true" t="shared" si="1" ref="H14:H19">ROUND((E14*F14),2)</f>
        <v>1318.04</v>
      </c>
      <c r="I14" s="115">
        <f aca="true" t="shared" si="2" ref="I14:I19">ROUND((E14*G14),2)</f>
        <v>1669.51</v>
      </c>
      <c r="J14" s="9">
        <v>0.19</v>
      </c>
      <c r="K14" s="322">
        <f aca="true" t="shared" si="3" ref="K14:K77">J14-G14</f>
        <v>0</v>
      </c>
      <c r="L14" s="322"/>
      <c r="M14" s="323"/>
      <c r="N14" s="329"/>
      <c r="O14" s="323"/>
    </row>
    <row r="15" spans="1:15" ht="15">
      <c r="A15" s="111" t="s">
        <v>43</v>
      </c>
      <c r="B15" s="112" t="s">
        <v>842</v>
      </c>
      <c r="C15" s="123" t="s">
        <v>44</v>
      </c>
      <c r="D15" s="42" t="s">
        <v>45</v>
      </c>
      <c r="E15" s="113">
        <v>231.99</v>
      </c>
      <c r="F15" s="114">
        <v>5.94</v>
      </c>
      <c r="G15" s="114">
        <f t="shared" si="0"/>
        <v>7.33</v>
      </c>
      <c r="H15" s="115">
        <f t="shared" si="1"/>
        <v>1378.02</v>
      </c>
      <c r="I15" s="115">
        <f t="shared" si="2"/>
        <v>1700.49</v>
      </c>
      <c r="J15" s="9">
        <v>7.33</v>
      </c>
      <c r="K15" s="322">
        <f t="shared" si="3"/>
        <v>0</v>
      </c>
      <c r="L15" s="322"/>
      <c r="M15" s="323"/>
      <c r="N15" s="329"/>
      <c r="O15" s="323"/>
    </row>
    <row r="16" spans="1:15" ht="30">
      <c r="A16" s="111" t="s">
        <v>46</v>
      </c>
      <c r="B16" s="112" t="s">
        <v>843</v>
      </c>
      <c r="C16" s="123" t="s">
        <v>47</v>
      </c>
      <c r="D16" s="42" t="s">
        <v>0</v>
      </c>
      <c r="E16" s="113">
        <v>12</v>
      </c>
      <c r="F16" s="114">
        <v>363.95</v>
      </c>
      <c r="G16" s="114">
        <f t="shared" si="0"/>
        <v>449.04</v>
      </c>
      <c r="H16" s="115">
        <f t="shared" si="1"/>
        <v>4367.4</v>
      </c>
      <c r="I16" s="115">
        <f t="shared" si="2"/>
        <v>5388.48</v>
      </c>
      <c r="J16" s="9">
        <v>449.04</v>
      </c>
      <c r="K16" s="322">
        <f t="shared" si="3"/>
        <v>0</v>
      </c>
      <c r="L16" s="322"/>
      <c r="M16" s="323"/>
      <c r="N16" s="329"/>
      <c r="O16" s="323"/>
    </row>
    <row r="17" spans="1:15" ht="30">
      <c r="A17" s="111" t="s">
        <v>48</v>
      </c>
      <c r="B17" s="112" t="s">
        <v>844</v>
      </c>
      <c r="C17" s="123" t="s">
        <v>49</v>
      </c>
      <c r="D17" s="42" t="s">
        <v>9</v>
      </c>
      <c r="E17" s="113">
        <v>1</v>
      </c>
      <c r="F17" s="114">
        <v>2993.26</v>
      </c>
      <c r="G17" s="114">
        <f t="shared" si="0"/>
        <v>3693.08</v>
      </c>
      <c r="H17" s="115">
        <f t="shared" si="1"/>
        <v>2993.26</v>
      </c>
      <c r="I17" s="115">
        <f t="shared" si="2"/>
        <v>3693.08</v>
      </c>
      <c r="J17" s="9">
        <v>3693.08</v>
      </c>
      <c r="K17" s="322">
        <f t="shared" si="3"/>
        <v>0</v>
      </c>
      <c r="L17" s="322"/>
      <c r="M17" s="323"/>
      <c r="N17" s="329"/>
      <c r="O17" s="323"/>
    </row>
    <row r="18" spans="1:15" ht="15">
      <c r="A18" s="111" t="s">
        <v>50</v>
      </c>
      <c r="B18" s="112" t="s">
        <v>845</v>
      </c>
      <c r="C18" s="123" t="s">
        <v>131</v>
      </c>
      <c r="D18" s="42" t="s">
        <v>9</v>
      </c>
      <c r="E18" s="113">
        <v>1</v>
      </c>
      <c r="F18" s="114">
        <v>1527.74</v>
      </c>
      <c r="G18" s="114">
        <f t="shared" si="0"/>
        <v>1884.93</v>
      </c>
      <c r="H18" s="115">
        <f t="shared" si="1"/>
        <v>1527.74</v>
      </c>
      <c r="I18" s="115">
        <f t="shared" si="2"/>
        <v>1884.93</v>
      </c>
      <c r="J18" s="9">
        <v>1884.93</v>
      </c>
      <c r="K18" s="322">
        <f t="shared" si="3"/>
        <v>0</v>
      </c>
      <c r="L18" s="322"/>
      <c r="M18" s="323"/>
      <c r="N18" s="329"/>
      <c r="O18" s="323"/>
    </row>
    <row r="19" spans="1:15" ht="30">
      <c r="A19" s="111" t="s">
        <v>51</v>
      </c>
      <c r="B19" s="112" t="s">
        <v>846</v>
      </c>
      <c r="C19" s="123" t="s">
        <v>52</v>
      </c>
      <c r="D19" s="42" t="s">
        <v>11</v>
      </c>
      <c r="E19" s="113">
        <v>4.74</v>
      </c>
      <c r="F19" s="114">
        <v>55.49</v>
      </c>
      <c r="G19" s="114">
        <f t="shared" si="0"/>
        <v>68.46</v>
      </c>
      <c r="H19" s="115">
        <f t="shared" si="1"/>
        <v>263.02</v>
      </c>
      <c r="I19" s="115">
        <f t="shared" si="2"/>
        <v>324.5</v>
      </c>
      <c r="J19" s="9">
        <v>68.46</v>
      </c>
      <c r="K19" s="322">
        <f t="shared" si="3"/>
        <v>0</v>
      </c>
      <c r="L19" s="322"/>
      <c r="M19" s="323"/>
      <c r="N19" s="329"/>
      <c r="O19" s="323"/>
    </row>
    <row r="20" spans="1:15" s="134" customFormat="1" ht="15.75">
      <c r="A20" s="63" t="s">
        <v>41</v>
      </c>
      <c r="B20" s="28"/>
      <c r="C20" s="141"/>
      <c r="D20" s="28"/>
      <c r="E20" s="382" t="s">
        <v>54</v>
      </c>
      <c r="F20" s="383"/>
      <c r="G20" s="118"/>
      <c r="H20" s="136">
        <f>SUM(H13:H19)</f>
        <v>14025</v>
      </c>
      <c r="I20" s="136">
        <f>SUM(I13:I19)</f>
        <v>17347.609999999997</v>
      </c>
      <c r="J20" s="9"/>
      <c r="K20" s="322">
        <f t="shared" si="3"/>
        <v>0</v>
      </c>
      <c r="L20" s="322"/>
      <c r="M20" s="323"/>
      <c r="N20" s="329"/>
      <c r="O20" s="323"/>
    </row>
    <row r="21" spans="1:15" s="134" customFormat="1" ht="15.75">
      <c r="A21" s="131" t="s">
        <v>55</v>
      </c>
      <c r="B21" s="131"/>
      <c r="C21" s="142" t="s">
        <v>56</v>
      </c>
      <c r="D21" s="138"/>
      <c r="E21" s="139"/>
      <c r="F21" s="140"/>
      <c r="G21" s="140"/>
      <c r="H21" s="136"/>
      <c r="I21" s="143"/>
      <c r="J21" s="9">
        <v>0</v>
      </c>
      <c r="K21" s="322">
        <f t="shared" si="3"/>
        <v>0</v>
      </c>
      <c r="L21" s="322"/>
      <c r="M21" s="324"/>
      <c r="N21" s="329"/>
      <c r="O21" s="324"/>
    </row>
    <row r="22" spans="1:15" ht="30">
      <c r="A22" s="40" t="s">
        <v>57</v>
      </c>
      <c r="B22" s="130" t="s">
        <v>800</v>
      </c>
      <c r="C22" s="123" t="s">
        <v>58</v>
      </c>
      <c r="D22" s="42" t="s">
        <v>59</v>
      </c>
      <c r="E22" s="116">
        <v>231.99</v>
      </c>
      <c r="F22" s="114">
        <v>70.39</v>
      </c>
      <c r="G22" s="114">
        <f>ROUND((F22*1.2338),2)</f>
        <v>86.85</v>
      </c>
      <c r="H22" s="115">
        <f>ROUND((E22*F22),2)</f>
        <v>16329.78</v>
      </c>
      <c r="I22" s="115">
        <f>ROUND((E22*G22),2)</f>
        <v>20148.33</v>
      </c>
      <c r="J22" s="9">
        <v>86.85</v>
      </c>
      <c r="K22" s="322">
        <f t="shared" si="3"/>
        <v>0</v>
      </c>
      <c r="L22" s="322"/>
      <c r="M22" s="324"/>
      <c r="N22" s="329"/>
      <c r="O22" s="324"/>
    </row>
    <row r="23" spans="1:15" ht="30">
      <c r="A23" s="40" t="s">
        <v>60</v>
      </c>
      <c r="B23" s="130" t="s">
        <v>461</v>
      </c>
      <c r="C23" s="123" t="s">
        <v>21</v>
      </c>
      <c r="D23" s="42" t="s">
        <v>0</v>
      </c>
      <c r="E23" s="116">
        <v>2319.9</v>
      </c>
      <c r="F23" s="114">
        <v>47.75</v>
      </c>
      <c r="G23" s="114">
        <f>ROUND((F23*1.2338),2)</f>
        <v>58.91</v>
      </c>
      <c r="H23" s="115">
        <f>ROUND((E23*F23),2)</f>
        <v>110775.23</v>
      </c>
      <c r="I23" s="115">
        <f>ROUND((E23*G23),2)</f>
        <v>136665.31</v>
      </c>
      <c r="J23" s="9">
        <v>58.91</v>
      </c>
      <c r="K23" s="322">
        <f t="shared" si="3"/>
        <v>0</v>
      </c>
      <c r="L23" s="322"/>
      <c r="M23" s="323"/>
      <c r="N23" s="329"/>
      <c r="O23" s="323"/>
    </row>
    <row r="24" spans="1:15" ht="30">
      <c r="A24" s="40" t="s">
        <v>62</v>
      </c>
      <c r="B24" s="130" t="s">
        <v>120</v>
      </c>
      <c r="C24" s="123" t="s">
        <v>63</v>
      </c>
      <c r="D24" s="42" t="s">
        <v>10</v>
      </c>
      <c r="E24" s="116">
        <v>575.56</v>
      </c>
      <c r="F24" s="114">
        <v>37.49</v>
      </c>
      <c r="G24" s="114">
        <f>ROUND((F24*1.2338),2)</f>
        <v>46.26</v>
      </c>
      <c r="H24" s="115">
        <f>ROUND((E24*F24),2)</f>
        <v>21577.74</v>
      </c>
      <c r="I24" s="115">
        <f>ROUND((E24*G24),2)</f>
        <v>26625.41</v>
      </c>
      <c r="J24" s="9">
        <v>46.26</v>
      </c>
      <c r="K24" s="322">
        <f t="shared" si="3"/>
        <v>0</v>
      </c>
      <c r="L24" s="322"/>
      <c r="M24" s="323"/>
      <c r="N24" s="329"/>
      <c r="O24" s="323"/>
    </row>
    <row r="25" spans="1:15" ht="30">
      <c r="A25" s="40" t="s">
        <v>747</v>
      </c>
      <c r="B25" s="130" t="s">
        <v>839</v>
      </c>
      <c r="C25" s="123" t="s">
        <v>754</v>
      </c>
      <c r="D25" s="42" t="s">
        <v>0</v>
      </c>
      <c r="E25" s="116">
        <v>385.89</v>
      </c>
      <c r="F25" s="114">
        <v>26.1</v>
      </c>
      <c r="G25" s="114">
        <f>ROUND((F25*1.2338),2)</f>
        <v>32.2</v>
      </c>
      <c r="H25" s="115">
        <f>ROUND((E25*F25),2)</f>
        <v>10071.73</v>
      </c>
      <c r="I25" s="115">
        <f>ROUND((E25*G25),2)</f>
        <v>12425.66</v>
      </c>
      <c r="J25" s="9">
        <v>32.2</v>
      </c>
      <c r="K25" s="322">
        <f t="shared" si="3"/>
        <v>0</v>
      </c>
      <c r="L25" s="322"/>
      <c r="M25" s="323"/>
      <c r="N25" s="329"/>
      <c r="O25" s="323"/>
    </row>
    <row r="26" spans="1:15" ht="31.5">
      <c r="A26" s="341" t="s">
        <v>801</v>
      </c>
      <c r="B26" s="347" t="s">
        <v>802</v>
      </c>
      <c r="C26" s="343" t="s">
        <v>803</v>
      </c>
      <c r="D26" s="342" t="s">
        <v>10</v>
      </c>
      <c r="E26" s="348">
        <v>417.37</v>
      </c>
      <c r="F26" s="345">
        <v>33.3</v>
      </c>
      <c r="G26" s="345">
        <f>ROUND((F26*1.2338),2)</f>
        <v>41.09</v>
      </c>
      <c r="H26" s="346">
        <f>ROUND((E26*F26),2)</f>
        <v>13898.42</v>
      </c>
      <c r="I26" s="346">
        <f>ROUNDUP((E26*G26),2)</f>
        <v>17149.739999999998</v>
      </c>
      <c r="J26" s="9">
        <v>41.09</v>
      </c>
      <c r="K26" s="322">
        <f t="shared" si="3"/>
        <v>0</v>
      </c>
      <c r="L26" s="322"/>
      <c r="M26" s="323"/>
      <c r="N26" s="329"/>
      <c r="O26" s="323"/>
    </row>
    <row r="27" spans="1:15" s="134" customFormat="1" ht="15.75">
      <c r="A27" s="63" t="s">
        <v>41</v>
      </c>
      <c r="B27" s="28"/>
      <c r="C27" s="141"/>
      <c r="D27" s="28"/>
      <c r="E27" s="382" t="s">
        <v>65</v>
      </c>
      <c r="F27" s="383"/>
      <c r="G27" s="118"/>
      <c r="H27" s="144">
        <f>SUM(H22:H26)</f>
        <v>172652.90000000002</v>
      </c>
      <c r="I27" s="144">
        <f>SUM(I22:I26)</f>
        <v>213014.45</v>
      </c>
      <c r="J27" s="9"/>
      <c r="K27" s="322">
        <f t="shared" si="3"/>
        <v>0</v>
      </c>
      <c r="L27" s="322"/>
      <c r="M27" s="323"/>
      <c r="N27" s="329"/>
      <c r="O27" s="323"/>
    </row>
    <row r="28" spans="1:15" s="134" customFormat="1" ht="15.75">
      <c r="A28" s="131" t="s">
        <v>66</v>
      </c>
      <c r="B28" s="131"/>
      <c r="C28" s="142" t="s">
        <v>146</v>
      </c>
      <c r="D28" s="138"/>
      <c r="E28" s="139"/>
      <c r="F28" s="140"/>
      <c r="G28" s="140"/>
      <c r="H28" s="136"/>
      <c r="I28" s="136"/>
      <c r="J28" s="9">
        <v>0</v>
      </c>
      <c r="K28" s="322">
        <f t="shared" si="3"/>
        <v>0</v>
      </c>
      <c r="L28" s="322"/>
      <c r="M28" s="323"/>
      <c r="N28" s="329"/>
      <c r="O28" s="323"/>
    </row>
    <row r="29" spans="1:15" s="90" customFormat="1" ht="60">
      <c r="A29" s="40" t="s">
        <v>68</v>
      </c>
      <c r="B29" s="42" t="s">
        <v>847</v>
      </c>
      <c r="C29" s="123" t="s">
        <v>162</v>
      </c>
      <c r="D29" s="42" t="s">
        <v>11</v>
      </c>
      <c r="E29" s="116">
        <v>485.97</v>
      </c>
      <c r="F29" s="114">
        <v>6.25</v>
      </c>
      <c r="G29" s="114">
        <f aca="true" t="shared" si="4" ref="G29:G41">ROUND((F29*1.2338),2)</f>
        <v>7.71</v>
      </c>
      <c r="H29" s="115">
        <f aca="true" t="shared" si="5" ref="H29:H40">ROUND((E29*F29),2)</f>
        <v>3037.31</v>
      </c>
      <c r="I29" s="115">
        <f aca="true" t="shared" si="6" ref="I29:I40">ROUND((E29*G29),2)</f>
        <v>3746.83</v>
      </c>
      <c r="J29" s="9">
        <v>7.71</v>
      </c>
      <c r="K29" s="322">
        <f t="shared" si="3"/>
        <v>0</v>
      </c>
      <c r="L29" s="322"/>
      <c r="M29" s="324"/>
      <c r="N29" s="329"/>
      <c r="O29" s="324"/>
    </row>
    <row r="30" spans="1:15" s="90" customFormat="1" ht="45">
      <c r="A30" s="40" t="s">
        <v>69</v>
      </c>
      <c r="B30" s="42" t="s">
        <v>848</v>
      </c>
      <c r="C30" s="123" t="s">
        <v>975</v>
      </c>
      <c r="D30" s="42" t="s">
        <v>11</v>
      </c>
      <c r="E30" s="116">
        <v>332.71</v>
      </c>
      <c r="F30" s="114">
        <f>'memória base 0619'!F158+0.06</f>
        <v>16.29</v>
      </c>
      <c r="G30" s="114">
        <f t="shared" si="4"/>
        <v>20.1</v>
      </c>
      <c r="H30" s="115">
        <f t="shared" si="5"/>
        <v>5419.85</v>
      </c>
      <c r="I30" s="115">
        <f t="shared" si="6"/>
        <v>6687.47</v>
      </c>
      <c r="J30" s="9">
        <v>20.1</v>
      </c>
      <c r="K30" s="322">
        <f t="shared" si="3"/>
        <v>0</v>
      </c>
      <c r="L30" s="322"/>
      <c r="M30" s="324"/>
      <c r="N30" s="329"/>
      <c r="O30" s="324"/>
    </row>
    <row r="31" spans="1:15" s="90" customFormat="1" ht="30">
      <c r="A31" s="40" t="s">
        <v>71</v>
      </c>
      <c r="B31" s="42" t="s">
        <v>849</v>
      </c>
      <c r="C31" s="123" t="s">
        <v>148</v>
      </c>
      <c r="D31" s="42" t="s">
        <v>10</v>
      </c>
      <c r="E31" s="116">
        <v>33</v>
      </c>
      <c r="F31" s="114">
        <v>44.703</v>
      </c>
      <c r="G31" s="114">
        <f t="shared" si="4"/>
        <v>55.15</v>
      </c>
      <c r="H31" s="115">
        <f t="shared" si="5"/>
        <v>1475.2</v>
      </c>
      <c r="I31" s="115">
        <f t="shared" si="6"/>
        <v>1819.95</v>
      </c>
      <c r="J31" s="9">
        <v>55.15</v>
      </c>
      <c r="K31" s="322">
        <f t="shared" si="3"/>
        <v>0</v>
      </c>
      <c r="L31" s="322"/>
      <c r="M31" s="325"/>
      <c r="N31" s="329"/>
      <c r="O31" s="325"/>
    </row>
    <row r="32" spans="1:15" s="90" customFormat="1" ht="30">
      <c r="A32" s="40" t="s">
        <v>248</v>
      </c>
      <c r="B32" s="42" t="s">
        <v>850</v>
      </c>
      <c r="C32" s="123" t="s">
        <v>154</v>
      </c>
      <c r="D32" s="42" t="s">
        <v>10</v>
      </c>
      <c r="E32" s="116">
        <v>147.06</v>
      </c>
      <c r="F32" s="114">
        <v>66.06</v>
      </c>
      <c r="G32" s="114">
        <f t="shared" si="4"/>
        <v>81.5</v>
      </c>
      <c r="H32" s="115">
        <f t="shared" si="5"/>
        <v>9714.78</v>
      </c>
      <c r="I32" s="115">
        <f t="shared" si="6"/>
        <v>11985.39</v>
      </c>
      <c r="J32" s="9">
        <v>81.5</v>
      </c>
      <c r="K32" s="322">
        <f t="shared" si="3"/>
        <v>0</v>
      </c>
      <c r="L32" s="322"/>
      <c r="M32" s="325"/>
      <c r="N32" s="329"/>
      <c r="O32" s="325"/>
    </row>
    <row r="33" spans="1:15" s="90" customFormat="1" ht="30">
      <c r="A33" s="40" t="s">
        <v>249</v>
      </c>
      <c r="B33" s="42" t="s">
        <v>851</v>
      </c>
      <c r="C33" s="123" t="s">
        <v>156</v>
      </c>
      <c r="D33" s="42" t="s">
        <v>10</v>
      </c>
      <c r="E33" s="116">
        <v>33</v>
      </c>
      <c r="F33" s="114">
        <v>110.49</v>
      </c>
      <c r="G33" s="114">
        <f t="shared" si="4"/>
        <v>136.32</v>
      </c>
      <c r="H33" s="115">
        <f t="shared" si="5"/>
        <v>3646.17</v>
      </c>
      <c r="I33" s="115">
        <f t="shared" si="6"/>
        <v>4498.56</v>
      </c>
      <c r="J33" s="9">
        <v>136.32</v>
      </c>
      <c r="K33" s="322">
        <f t="shared" si="3"/>
        <v>0</v>
      </c>
      <c r="L33" s="322"/>
      <c r="M33" s="325"/>
      <c r="N33" s="329"/>
      <c r="O33" s="325"/>
    </row>
    <row r="34" spans="1:15" s="90" customFormat="1" ht="30">
      <c r="A34" s="40" t="s">
        <v>250</v>
      </c>
      <c r="B34" s="42" t="s">
        <v>852</v>
      </c>
      <c r="C34" s="123" t="s">
        <v>158</v>
      </c>
      <c r="D34" s="42" t="s">
        <v>10</v>
      </c>
      <c r="E34" s="116">
        <v>120</v>
      </c>
      <c r="F34" s="114">
        <v>94.69800000000001</v>
      </c>
      <c r="G34" s="114">
        <f t="shared" si="4"/>
        <v>116.84</v>
      </c>
      <c r="H34" s="115">
        <f t="shared" si="5"/>
        <v>11363.76</v>
      </c>
      <c r="I34" s="115">
        <f t="shared" si="6"/>
        <v>14020.8</v>
      </c>
      <c r="J34" s="9">
        <v>116.84</v>
      </c>
      <c r="K34" s="322">
        <f t="shared" si="3"/>
        <v>0</v>
      </c>
      <c r="L34" s="322"/>
      <c r="M34" s="325"/>
      <c r="N34" s="329"/>
      <c r="O34" s="325"/>
    </row>
    <row r="35" spans="1:15" s="90" customFormat="1" ht="30">
      <c r="A35" s="40" t="s">
        <v>257</v>
      </c>
      <c r="B35" s="42" t="s">
        <v>853</v>
      </c>
      <c r="C35" s="123" t="s">
        <v>160</v>
      </c>
      <c r="D35" s="42" t="s">
        <v>10</v>
      </c>
      <c r="E35" s="116">
        <v>40</v>
      </c>
      <c r="F35" s="114">
        <v>120.93</v>
      </c>
      <c r="G35" s="114">
        <f t="shared" si="4"/>
        <v>149.2</v>
      </c>
      <c r="H35" s="115">
        <f t="shared" si="5"/>
        <v>4837.2</v>
      </c>
      <c r="I35" s="115">
        <f t="shared" si="6"/>
        <v>5968</v>
      </c>
      <c r="J35" s="9">
        <v>149.2</v>
      </c>
      <c r="K35" s="322">
        <f t="shared" si="3"/>
        <v>0</v>
      </c>
      <c r="L35" s="322"/>
      <c r="M35" s="325"/>
      <c r="N35" s="329"/>
      <c r="O35" s="325"/>
    </row>
    <row r="36" spans="1:15" s="90" customFormat="1" ht="30">
      <c r="A36" s="40" t="s">
        <v>258</v>
      </c>
      <c r="B36" s="42" t="s">
        <v>854</v>
      </c>
      <c r="C36" s="123" t="s">
        <v>77</v>
      </c>
      <c r="D36" s="42" t="s">
        <v>10</v>
      </c>
      <c r="E36" s="116">
        <v>110</v>
      </c>
      <c r="F36" s="114">
        <v>153.55</v>
      </c>
      <c r="G36" s="114">
        <f t="shared" si="4"/>
        <v>189.45</v>
      </c>
      <c r="H36" s="115">
        <f t="shared" si="5"/>
        <v>16890.5</v>
      </c>
      <c r="I36" s="115">
        <f t="shared" si="6"/>
        <v>20839.5</v>
      </c>
      <c r="J36" s="9">
        <v>189.45</v>
      </c>
      <c r="K36" s="322">
        <f t="shared" si="3"/>
        <v>0</v>
      </c>
      <c r="L36" s="322"/>
      <c r="M36" s="325"/>
      <c r="N36" s="329"/>
      <c r="O36" s="325"/>
    </row>
    <row r="37" spans="1:15" s="90" customFormat="1" ht="60">
      <c r="A37" s="40" t="s">
        <v>259</v>
      </c>
      <c r="B37" s="129" t="s">
        <v>811</v>
      </c>
      <c r="C37" s="127" t="s">
        <v>345</v>
      </c>
      <c r="D37" s="128" t="s">
        <v>9</v>
      </c>
      <c r="E37" s="116">
        <v>7</v>
      </c>
      <c r="F37" s="114">
        <v>824.06</v>
      </c>
      <c r="G37" s="114">
        <f t="shared" si="4"/>
        <v>1016.73</v>
      </c>
      <c r="H37" s="115">
        <f t="shared" si="5"/>
        <v>5768.42</v>
      </c>
      <c r="I37" s="115">
        <f t="shared" si="6"/>
        <v>7117.11</v>
      </c>
      <c r="J37" s="9">
        <v>1016.73</v>
      </c>
      <c r="K37" s="322">
        <f t="shared" si="3"/>
        <v>0</v>
      </c>
      <c r="L37" s="322"/>
      <c r="M37" s="325"/>
      <c r="N37" s="329"/>
      <c r="O37" s="325"/>
    </row>
    <row r="38" spans="1:15" s="90" customFormat="1" ht="60">
      <c r="A38" s="40" t="s">
        <v>260</v>
      </c>
      <c r="B38" s="42" t="s">
        <v>167</v>
      </c>
      <c r="C38" s="123" t="s">
        <v>168</v>
      </c>
      <c r="D38" s="42" t="s">
        <v>10</v>
      </c>
      <c r="E38" s="116">
        <v>13</v>
      </c>
      <c r="F38" s="114">
        <v>617.29</v>
      </c>
      <c r="G38" s="114">
        <f t="shared" si="4"/>
        <v>761.61</v>
      </c>
      <c r="H38" s="115">
        <f t="shared" si="5"/>
        <v>8024.77</v>
      </c>
      <c r="I38" s="115">
        <f t="shared" si="6"/>
        <v>9900.93</v>
      </c>
      <c r="J38" s="9">
        <v>761.61</v>
      </c>
      <c r="K38" s="322">
        <f t="shared" si="3"/>
        <v>0</v>
      </c>
      <c r="L38" s="322"/>
      <c r="M38" s="325"/>
      <c r="N38" s="329"/>
      <c r="O38" s="325"/>
    </row>
    <row r="39" spans="1:15" s="90" customFormat="1" ht="75">
      <c r="A39" s="40" t="s">
        <v>698</v>
      </c>
      <c r="B39" s="129" t="s">
        <v>816</v>
      </c>
      <c r="C39" s="123" t="s">
        <v>710</v>
      </c>
      <c r="D39" s="42" t="s">
        <v>9</v>
      </c>
      <c r="E39" s="116">
        <v>2</v>
      </c>
      <c r="F39" s="114">
        <v>659.44</v>
      </c>
      <c r="G39" s="114">
        <f t="shared" si="4"/>
        <v>813.62</v>
      </c>
      <c r="H39" s="115">
        <f t="shared" si="5"/>
        <v>1318.88</v>
      </c>
      <c r="I39" s="115">
        <f t="shared" si="6"/>
        <v>1627.24</v>
      </c>
      <c r="J39" s="9">
        <v>813.62</v>
      </c>
      <c r="K39" s="322">
        <f t="shared" si="3"/>
        <v>0</v>
      </c>
      <c r="L39" s="322"/>
      <c r="M39" s="325"/>
      <c r="N39" s="329"/>
      <c r="O39" s="325"/>
    </row>
    <row r="40" spans="1:15" s="90" customFormat="1" ht="60">
      <c r="A40" s="40" t="s">
        <v>745</v>
      </c>
      <c r="B40" s="129" t="s">
        <v>817</v>
      </c>
      <c r="C40" s="123" t="s">
        <v>746</v>
      </c>
      <c r="D40" s="42" t="s">
        <v>9</v>
      </c>
      <c r="E40" s="116">
        <v>1</v>
      </c>
      <c r="F40" s="114">
        <v>1316.94</v>
      </c>
      <c r="G40" s="114">
        <f t="shared" si="4"/>
        <v>1624.84</v>
      </c>
      <c r="H40" s="115">
        <f t="shared" si="5"/>
        <v>1316.94</v>
      </c>
      <c r="I40" s="115">
        <f t="shared" si="6"/>
        <v>1624.84</v>
      </c>
      <c r="J40" s="9">
        <v>1624.84</v>
      </c>
      <c r="K40" s="322">
        <f t="shared" si="3"/>
        <v>0</v>
      </c>
      <c r="L40" s="322"/>
      <c r="M40" s="325"/>
      <c r="N40" s="329"/>
      <c r="O40" s="325"/>
    </row>
    <row r="41" spans="1:15" s="90" customFormat="1" ht="30">
      <c r="A41" s="40" t="s">
        <v>818</v>
      </c>
      <c r="B41" s="129">
        <v>90694</v>
      </c>
      <c r="C41" s="123" t="s">
        <v>820</v>
      </c>
      <c r="D41" s="42" t="s">
        <v>9</v>
      </c>
      <c r="E41" s="320">
        <v>28.11</v>
      </c>
      <c r="F41" s="114">
        <v>21.9</v>
      </c>
      <c r="G41" s="114">
        <f t="shared" si="4"/>
        <v>27.02</v>
      </c>
      <c r="H41" s="115">
        <f>ROUND((E41*F41),2)</f>
        <v>615.61</v>
      </c>
      <c r="I41" s="115">
        <f>ROUND((E41*G41),2)</f>
        <v>759.53</v>
      </c>
      <c r="J41" s="9">
        <v>27.02</v>
      </c>
      <c r="K41" s="322">
        <f t="shared" si="3"/>
        <v>0</v>
      </c>
      <c r="L41" s="322"/>
      <c r="M41" s="325"/>
      <c r="N41" s="329"/>
      <c r="O41" s="325"/>
    </row>
    <row r="42" spans="1:15" s="134" customFormat="1" ht="15.75">
      <c r="A42" s="63" t="s">
        <v>41</v>
      </c>
      <c r="B42" s="28"/>
      <c r="C42" s="141"/>
      <c r="D42" s="28"/>
      <c r="E42" s="382" t="s">
        <v>83</v>
      </c>
      <c r="F42" s="383"/>
      <c r="G42" s="118"/>
      <c r="H42" s="136">
        <f>SUM(H29:H41)</f>
        <v>73429.39</v>
      </c>
      <c r="I42" s="136">
        <f>SUM(I29:I41)</f>
        <v>90596.15000000001</v>
      </c>
      <c r="J42" s="9"/>
      <c r="K42" s="322">
        <f t="shared" si="3"/>
        <v>0</v>
      </c>
      <c r="L42" s="322"/>
      <c r="M42" s="325"/>
      <c r="N42" s="329"/>
      <c r="O42" s="325"/>
    </row>
    <row r="43" spans="1:15" s="134" customFormat="1" ht="15.75">
      <c r="A43" s="131" t="s">
        <v>84</v>
      </c>
      <c r="B43" s="131"/>
      <c r="C43" s="142" t="s">
        <v>341</v>
      </c>
      <c r="D43" s="138"/>
      <c r="E43" s="139"/>
      <c r="F43" s="140"/>
      <c r="G43" s="140"/>
      <c r="H43" s="136"/>
      <c r="I43" s="136"/>
      <c r="J43" s="9">
        <v>0</v>
      </c>
      <c r="K43" s="322">
        <f t="shared" si="3"/>
        <v>0</v>
      </c>
      <c r="L43" s="322"/>
      <c r="M43" s="325"/>
      <c r="N43" s="329"/>
      <c r="O43" s="325"/>
    </row>
    <row r="44" spans="1:15" s="89" customFormat="1" ht="60">
      <c r="A44" s="40" t="s">
        <v>261</v>
      </c>
      <c r="B44" s="40" t="s">
        <v>325</v>
      </c>
      <c r="C44" s="123" t="s">
        <v>326</v>
      </c>
      <c r="D44" s="42" t="s">
        <v>9</v>
      </c>
      <c r="E44" s="116">
        <v>1</v>
      </c>
      <c r="F44" s="114">
        <v>536.57</v>
      </c>
      <c r="G44" s="114">
        <f aca="true" t="shared" si="7" ref="G44:G49">ROUND((F44*1.2338),2)</f>
        <v>662.02</v>
      </c>
      <c r="H44" s="115">
        <f aca="true" t="shared" si="8" ref="H44:H49">ROUND((E44*F44),2)</f>
        <v>536.57</v>
      </c>
      <c r="I44" s="115">
        <f aca="true" t="shared" si="9" ref="I44:I49">ROUND((E44*G44),2)</f>
        <v>662.02</v>
      </c>
      <c r="J44" s="9">
        <v>662.02</v>
      </c>
      <c r="K44" s="322">
        <f t="shared" si="3"/>
        <v>0</v>
      </c>
      <c r="L44" s="322"/>
      <c r="M44" s="325"/>
      <c r="N44" s="329"/>
      <c r="O44" s="325"/>
    </row>
    <row r="45" spans="1:15" s="89" customFormat="1" ht="30">
      <c r="A45" s="40" t="s">
        <v>262</v>
      </c>
      <c r="B45" s="40" t="s">
        <v>855</v>
      </c>
      <c r="C45" s="123" t="s">
        <v>332</v>
      </c>
      <c r="D45" s="42" t="s">
        <v>10</v>
      </c>
      <c r="E45" s="116">
        <v>61</v>
      </c>
      <c r="F45" s="114">
        <v>19.97</v>
      </c>
      <c r="G45" s="114">
        <f t="shared" si="7"/>
        <v>24.64</v>
      </c>
      <c r="H45" s="115">
        <f t="shared" si="8"/>
        <v>1218.17</v>
      </c>
      <c r="I45" s="115">
        <f t="shared" si="9"/>
        <v>1503.04</v>
      </c>
      <c r="J45" s="9">
        <v>24.64</v>
      </c>
      <c r="K45" s="322">
        <f t="shared" si="3"/>
        <v>0</v>
      </c>
      <c r="L45" s="322"/>
      <c r="M45" s="324"/>
      <c r="N45" s="329"/>
      <c r="O45" s="324"/>
    </row>
    <row r="46" spans="1:15" s="89" customFormat="1" ht="15">
      <c r="A46" s="40" t="s">
        <v>322</v>
      </c>
      <c r="B46" s="40" t="s">
        <v>337</v>
      </c>
      <c r="C46" s="123" t="s">
        <v>338</v>
      </c>
      <c r="D46" s="42" t="s">
        <v>9</v>
      </c>
      <c r="E46" s="116">
        <v>2</v>
      </c>
      <c r="F46" s="114">
        <v>21.41</v>
      </c>
      <c r="G46" s="114">
        <f t="shared" si="7"/>
        <v>26.42</v>
      </c>
      <c r="H46" s="115">
        <f t="shared" si="8"/>
        <v>42.82</v>
      </c>
      <c r="I46" s="115">
        <f t="shared" si="9"/>
        <v>52.84</v>
      </c>
      <c r="J46" s="9">
        <v>26.42</v>
      </c>
      <c r="K46" s="322">
        <f t="shared" si="3"/>
        <v>0</v>
      </c>
      <c r="L46" s="322"/>
      <c r="M46" s="324"/>
      <c r="N46" s="329"/>
      <c r="O46" s="324"/>
    </row>
    <row r="47" spans="1:15" s="89" customFormat="1" ht="45">
      <c r="A47" s="40" t="s">
        <v>323</v>
      </c>
      <c r="B47" s="40" t="s">
        <v>856</v>
      </c>
      <c r="C47" s="123" t="s">
        <v>696</v>
      </c>
      <c r="D47" s="42" t="s">
        <v>0</v>
      </c>
      <c r="E47" s="116">
        <v>2.53</v>
      </c>
      <c r="F47" s="114">
        <v>53.4</v>
      </c>
      <c r="G47" s="114">
        <f t="shared" si="7"/>
        <v>65.88</v>
      </c>
      <c r="H47" s="115">
        <f t="shared" si="8"/>
        <v>135.1</v>
      </c>
      <c r="I47" s="115">
        <f t="shared" si="9"/>
        <v>166.68</v>
      </c>
      <c r="J47" s="9">
        <v>65.88</v>
      </c>
      <c r="K47" s="322">
        <f t="shared" si="3"/>
        <v>0</v>
      </c>
      <c r="L47" s="322"/>
      <c r="M47" s="326"/>
      <c r="N47" s="329"/>
      <c r="O47" s="326"/>
    </row>
    <row r="48" spans="1:15" s="89" customFormat="1" ht="45">
      <c r="A48" s="40" t="s">
        <v>324</v>
      </c>
      <c r="B48" s="40" t="s">
        <v>689</v>
      </c>
      <c r="C48" s="123" t="s">
        <v>684</v>
      </c>
      <c r="D48" s="42" t="s">
        <v>0</v>
      </c>
      <c r="E48" s="116">
        <v>2.53</v>
      </c>
      <c r="F48" s="114">
        <v>39.29</v>
      </c>
      <c r="G48" s="114">
        <f t="shared" si="7"/>
        <v>48.48</v>
      </c>
      <c r="H48" s="115">
        <f t="shared" si="8"/>
        <v>99.4</v>
      </c>
      <c r="I48" s="115">
        <f t="shared" si="9"/>
        <v>122.65</v>
      </c>
      <c r="J48" s="9">
        <v>48.48</v>
      </c>
      <c r="K48" s="322">
        <f t="shared" si="3"/>
        <v>0</v>
      </c>
      <c r="L48" s="322"/>
      <c r="M48" s="326"/>
      <c r="N48" s="329"/>
      <c r="O48" s="326"/>
    </row>
    <row r="49" spans="1:15" s="89" customFormat="1" ht="45">
      <c r="A49" s="40" t="s">
        <v>687</v>
      </c>
      <c r="B49" s="40" t="s">
        <v>691</v>
      </c>
      <c r="C49" s="123" t="s">
        <v>697</v>
      </c>
      <c r="D49" s="42" t="s">
        <v>11</v>
      </c>
      <c r="E49" s="116">
        <v>0.11</v>
      </c>
      <c r="F49" s="114">
        <v>381.04</v>
      </c>
      <c r="G49" s="114">
        <f t="shared" si="7"/>
        <v>470.13</v>
      </c>
      <c r="H49" s="115">
        <f t="shared" si="8"/>
        <v>41.91</v>
      </c>
      <c r="I49" s="115">
        <f t="shared" si="9"/>
        <v>51.71</v>
      </c>
      <c r="J49" s="9">
        <v>470.13</v>
      </c>
      <c r="K49" s="322">
        <f t="shared" si="3"/>
        <v>0</v>
      </c>
      <c r="L49" s="322"/>
      <c r="M49" s="326"/>
      <c r="N49" s="329"/>
      <c r="O49" s="326"/>
    </row>
    <row r="50" spans="1:15" s="134" customFormat="1" ht="15.75">
      <c r="A50" s="63" t="s">
        <v>41</v>
      </c>
      <c r="B50" s="28"/>
      <c r="C50" s="141"/>
      <c r="D50" s="28"/>
      <c r="E50" s="382" t="s">
        <v>263</v>
      </c>
      <c r="F50" s="383"/>
      <c r="G50" s="118"/>
      <c r="H50" s="136">
        <f>SUM(H44:H49)</f>
        <v>2073.9700000000003</v>
      </c>
      <c r="I50" s="136">
        <f>SUM(I44:I49)</f>
        <v>2558.94</v>
      </c>
      <c r="J50" s="9"/>
      <c r="K50" s="322">
        <f t="shared" si="3"/>
        <v>0</v>
      </c>
      <c r="L50" s="322"/>
      <c r="M50" s="326"/>
      <c r="N50" s="329"/>
      <c r="O50" s="326"/>
    </row>
    <row r="51" spans="1:15" s="134" customFormat="1" ht="15.75">
      <c r="A51" s="131" t="s">
        <v>104</v>
      </c>
      <c r="B51" s="131"/>
      <c r="C51" s="142" t="s">
        <v>85</v>
      </c>
      <c r="D51" s="138"/>
      <c r="E51" s="139"/>
      <c r="F51" s="140"/>
      <c r="G51" s="140"/>
      <c r="H51" s="136"/>
      <c r="I51" s="143"/>
      <c r="J51" s="9">
        <v>0</v>
      </c>
      <c r="K51" s="322">
        <f t="shared" si="3"/>
        <v>0</v>
      </c>
      <c r="L51" s="322"/>
      <c r="M51" s="326"/>
      <c r="N51" s="329"/>
      <c r="O51" s="326"/>
    </row>
    <row r="52" spans="1:15" s="90" customFormat="1" ht="30">
      <c r="A52" s="40" t="s">
        <v>106</v>
      </c>
      <c r="B52" s="42" t="s">
        <v>523</v>
      </c>
      <c r="C52" s="123" t="s">
        <v>94</v>
      </c>
      <c r="D52" s="42" t="s">
        <v>9</v>
      </c>
      <c r="E52" s="116">
        <v>25</v>
      </c>
      <c r="F52" s="114">
        <v>1120</v>
      </c>
      <c r="G52" s="114">
        <f aca="true" t="shared" si="10" ref="G52:G84">ROUND((F52*1.2338),2)</f>
        <v>1381.86</v>
      </c>
      <c r="H52" s="115">
        <f aca="true" t="shared" si="11" ref="H52:H84">ROUND((E52*F52),2)</f>
        <v>28000</v>
      </c>
      <c r="I52" s="115">
        <f aca="true" t="shared" si="12" ref="I52:I84">ROUND((E52*G52),2)</f>
        <v>34546.5</v>
      </c>
      <c r="J52" s="9">
        <v>1381.86</v>
      </c>
      <c r="K52" s="322">
        <f t="shared" si="3"/>
        <v>0</v>
      </c>
      <c r="L52" s="322"/>
      <c r="M52" s="327"/>
      <c r="N52" s="329"/>
      <c r="O52" s="327"/>
    </row>
    <row r="53" spans="1:15" s="90" customFormat="1" ht="15">
      <c r="A53" s="40" t="s">
        <v>107</v>
      </c>
      <c r="B53" s="130" t="s">
        <v>874</v>
      </c>
      <c r="C53" s="123" t="s">
        <v>95</v>
      </c>
      <c r="D53" s="42" t="s">
        <v>9</v>
      </c>
      <c r="E53" s="116">
        <v>25</v>
      </c>
      <c r="F53" s="114">
        <v>603.66</v>
      </c>
      <c r="G53" s="114">
        <f t="shared" si="10"/>
        <v>744.8</v>
      </c>
      <c r="H53" s="115">
        <f t="shared" si="11"/>
        <v>15091.5</v>
      </c>
      <c r="I53" s="115">
        <f t="shared" si="12"/>
        <v>18620</v>
      </c>
      <c r="J53" s="9">
        <v>744.8</v>
      </c>
      <c r="K53" s="322">
        <f t="shared" si="3"/>
        <v>0</v>
      </c>
      <c r="L53" s="322"/>
      <c r="M53" s="327"/>
      <c r="N53" s="329"/>
      <c r="O53" s="327"/>
    </row>
    <row r="54" spans="1:15" s="90" customFormat="1" ht="15">
      <c r="A54" s="40" t="s">
        <v>108</v>
      </c>
      <c r="B54" s="42" t="s">
        <v>857</v>
      </c>
      <c r="C54" s="123" t="s">
        <v>96</v>
      </c>
      <c r="D54" s="42" t="s">
        <v>9</v>
      </c>
      <c r="E54" s="116">
        <v>11</v>
      </c>
      <c r="F54" s="114">
        <v>1980</v>
      </c>
      <c r="G54" s="114">
        <f t="shared" si="10"/>
        <v>2442.92</v>
      </c>
      <c r="H54" s="115">
        <f t="shared" si="11"/>
        <v>21780</v>
      </c>
      <c r="I54" s="115">
        <f t="shared" si="12"/>
        <v>26872.12</v>
      </c>
      <c r="J54" s="9">
        <v>2442.92</v>
      </c>
      <c r="K54" s="322">
        <f t="shared" si="3"/>
        <v>0</v>
      </c>
      <c r="L54" s="322"/>
      <c r="M54" s="324"/>
      <c r="N54" s="329"/>
      <c r="O54" s="324"/>
    </row>
    <row r="55" spans="1:15" s="90" customFormat="1" ht="15">
      <c r="A55" s="40" t="s">
        <v>169</v>
      </c>
      <c r="B55" s="130" t="s">
        <v>875</v>
      </c>
      <c r="C55" s="123" t="s">
        <v>97</v>
      </c>
      <c r="D55" s="42" t="s">
        <v>9</v>
      </c>
      <c r="E55" s="116">
        <v>11</v>
      </c>
      <c r="F55" s="114">
        <v>707.41</v>
      </c>
      <c r="G55" s="114">
        <f t="shared" si="10"/>
        <v>872.8</v>
      </c>
      <c r="H55" s="115">
        <f t="shared" si="11"/>
        <v>7781.51</v>
      </c>
      <c r="I55" s="115">
        <f t="shared" si="12"/>
        <v>9600.8</v>
      </c>
      <c r="J55" s="9">
        <v>872.8</v>
      </c>
      <c r="K55" s="322">
        <f t="shared" si="3"/>
        <v>0</v>
      </c>
      <c r="L55" s="322"/>
      <c r="M55" s="324"/>
      <c r="N55" s="329"/>
      <c r="O55" s="324"/>
    </row>
    <row r="56" spans="1:15" s="334" customFormat="1" ht="15">
      <c r="A56" s="40" t="s">
        <v>170</v>
      </c>
      <c r="B56" s="42" t="s">
        <v>858</v>
      </c>
      <c r="C56" s="123" t="s">
        <v>232</v>
      </c>
      <c r="D56" s="42" t="s">
        <v>9</v>
      </c>
      <c r="E56" s="116">
        <v>36</v>
      </c>
      <c r="F56" s="114">
        <v>184.46</v>
      </c>
      <c r="G56" s="114">
        <f t="shared" si="10"/>
        <v>227.59</v>
      </c>
      <c r="H56" s="115">
        <f t="shared" si="11"/>
        <v>6640.56</v>
      </c>
      <c r="I56" s="115">
        <f t="shared" si="12"/>
        <v>8193.24</v>
      </c>
      <c r="J56" s="9">
        <v>227.59</v>
      </c>
      <c r="K56" s="322">
        <f t="shared" si="3"/>
        <v>0</v>
      </c>
      <c r="L56" s="331"/>
      <c r="M56" s="332"/>
      <c r="N56" s="333"/>
      <c r="O56" s="332"/>
    </row>
    <row r="57" spans="1:15" s="90" customFormat="1" ht="30">
      <c r="A57" s="40" t="s">
        <v>171</v>
      </c>
      <c r="B57" s="42" t="s">
        <v>859</v>
      </c>
      <c r="C57" s="123" t="s">
        <v>272</v>
      </c>
      <c r="D57" s="42" t="s">
        <v>11</v>
      </c>
      <c r="E57" s="116">
        <v>3.43</v>
      </c>
      <c r="F57" s="114">
        <v>67.248</v>
      </c>
      <c r="G57" s="114">
        <f t="shared" si="10"/>
        <v>82.97</v>
      </c>
      <c r="H57" s="115">
        <f t="shared" si="11"/>
        <v>230.66</v>
      </c>
      <c r="I57" s="115">
        <f t="shared" si="12"/>
        <v>284.59</v>
      </c>
      <c r="J57" s="9">
        <v>82.97</v>
      </c>
      <c r="K57" s="322">
        <f t="shared" si="3"/>
        <v>0</v>
      </c>
      <c r="L57" s="322"/>
      <c r="M57" s="325"/>
      <c r="N57" s="329"/>
      <c r="O57" s="325"/>
    </row>
    <row r="58" spans="1:15" s="90" customFormat="1" ht="30">
      <c r="A58" s="40" t="s">
        <v>172</v>
      </c>
      <c r="B58" s="42" t="s">
        <v>860</v>
      </c>
      <c r="C58" s="123" t="s">
        <v>264</v>
      </c>
      <c r="D58" s="42" t="s">
        <v>11</v>
      </c>
      <c r="E58" s="116">
        <v>3.43</v>
      </c>
      <c r="F58" s="114">
        <v>295.01</v>
      </c>
      <c r="G58" s="114">
        <f t="shared" si="10"/>
        <v>363.98</v>
      </c>
      <c r="H58" s="115">
        <f t="shared" si="11"/>
        <v>1011.88</v>
      </c>
      <c r="I58" s="115">
        <f t="shared" si="12"/>
        <v>1248.45</v>
      </c>
      <c r="J58" s="9">
        <v>363.98</v>
      </c>
      <c r="K58" s="322">
        <f t="shared" si="3"/>
        <v>0</v>
      </c>
      <c r="L58" s="322"/>
      <c r="M58" s="325"/>
      <c r="N58" s="329"/>
      <c r="O58" s="325"/>
    </row>
    <row r="59" spans="1:15" s="90" customFormat="1" ht="15.75">
      <c r="A59" s="341" t="s">
        <v>173</v>
      </c>
      <c r="B59" s="342" t="s">
        <v>265</v>
      </c>
      <c r="C59" s="343" t="s">
        <v>266</v>
      </c>
      <c r="D59" s="342" t="s">
        <v>11</v>
      </c>
      <c r="E59" s="344">
        <v>3.43</v>
      </c>
      <c r="F59" s="345">
        <v>141.28</v>
      </c>
      <c r="G59" s="345">
        <f t="shared" si="10"/>
        <v>174.31</v>
      </c>
      <c r="H59" s="346">
        <f t="shared" si="11"/>
        <v>484.59</v>
      </c>
      <c r="I59" s="346">
        <f>ROUNDUP((E59*G59),2)</f>
        <v>597.89</v>
      </c>
      <c r="J59" s="9">
        <v>174.31</v>
      </c>
      <c r="K59" s="322">
        <f t="shared" si="3"/>
        <v>0</v>
      </c>
      <c r="L59" s="322"/>
      <c r="M59" s="325"/>
      <c r="N59" s="329"/>
      <c r="O59" s="325"/>
    </row>
    <row r="60" spans="1:15" s="90" customFormat="1" ht="15">
      <c r="A60" s="40" t="s">
        <v>174</v>
      </c>
      <c r="B60" s="42" t="s">
        <v>187</v>
      </c>
      <c r="C60" s="123" t="s">
        <v>102</v>
      </c>
      <c r="D60" s="42" t="s">
        <v>103</v>
      </c>
      <c r="E60" s="116">
        <v>36</v>
      </c>
      <c r="F60" s="114">
        <v>58.91</v>
      </c>
      <c r="G60" s="114">
        <f t="shared" si="10"/>
        <v>72.68</v>
      </c>
      <c r="H60" s="115">
        <f t="shared" si="11"/>
        <v>2120.76</v>
      </c>
      <c r="I60" s="115">
        <f t="shared" si="12"/>
        <v>2616.48</v>
      </c>
      <c r="J60" s="9">
        <v>72.68</v>
      </c>
      <c r="K60" s="322">
        <f t="shared" si="3"/>
        <v>0</v>
      </c>
      <c r="L60" s="322"/>
      <c r="M60" s="325"/>
      <c r="N60" s="329"/>
      <c r="O60" s="325"/>
    </row>
    <row r="61" spans="1:15" s="90" customFormat="1" ht="30">
      <c r="A61" s="40" t="s">
        <v>287</v>
      </c>
      <c r="B61" s="42" t="s">
        <v>861</v>
      </c>
      <c r="C61" s="123" t="s">
        <v>189</v>
      </c>
      <c r="D61" s="42" t="s">
        <v>9</v>
      </c>
      <c r="E61" s="116">
        <v>1</v>
      </c>
      <c r="F61" s="114">
        <v>216.71099999999998</v>
      </c>
      <c r="G61" s="114">
        <f t="shared" si="10"/>
        <v>267.38</v>
      </c>
      <c r="H61" s="115">
        <f t="shared" si="11"/>
        <v>216.71</v>
      </c>
      <c r="I61" s="115">
        <f t="shared" si="12"/>
        <v>267.38</v>
      </c>
      <c r="J61" s="91">
        <v>267.38</v>
      </c>
      <c r="K61" s="322">
        <f t="shared" si="3"/>
        <v>0</v>
      </c>
      <c r="L61" s="322"/>
      <c r="M61" s="325"/>
      <c r="N61" s="329"/>
      <c r="O61" s="325"/>
    </row>
    <row r="62" spans="1:15" s="90" customFormat="1" ht="15">
      <c r="A62" s="40" t="s">
        <v>288</v>
      </c>
      <c r="B62" s="42" t="s">
        <v>862</v>
      </c>
      <c r="C62" s="123" t="s">
        <v>177</v>
      </c>
      <c r="D62" s="42" t="s">
        <v>9</v>
      </c>
      <c r="E62" s="116">
        <v>1</v>
      </c>
      <c r="F62" s="114">
        <v>54.59</v>
      </c>
      <c r="G62" s="114">
        <f t="shared" si="10"/>
        <v>67.35</v>
      </c>
      <c r="H62" s="115">
        <f t="shared" si="11"/>
        <v>54.59</v>
      </c>
      <c r="I62" s="115">
        <f t="shared" si="12"/>
        <v>67.35</v>
      </c>
      <c r="J62" s="9">
        <v>67.35</v>
      </c>
      <c r="K62" s="322">
        <f t="shared" si="3"/>
        <v>0</v>
      </c>
      <c r="L62" s="322"/>
      <c r="M62" s="325"/>
      <c r="N62" s="329"/>
      <c r="O62" s="325"/>
    </row>
    <row r="63" spans="1:15" s="90" customFormat="1" ht="15">
      <c r="A63" s="40" t="s">
        <v>289</v>
      </c>
      <c r="B63" s="42" t="s">
        <v>863</v>
      </c>
      <c r="C63" s="123" t="s">
        <v>268</v>
      </c>
      <c r="D63" s="42" t="s">
        <v>9</v>
      </c>
      <c r="E63" s="116">
        <v>2</v>
      </c>
      <c r="F63" s="114">
        <v>11.21</v>
      </c>
      <c r="G63" s="114">
        <f t="shared" si="10"/>
        <v>13.83</v>
      </c>
      <c r="H63" s="115">
        <f t="shared" si="11"/>
        <v>22.42</v>
      </c>
      <c r="I63" s="115">
        <f t="shared" si="12"/>
        <v>27.66</v>
      </c>
      <c r="J63" s="9">
        <v>13.83</v>
      </c>
      <c r="K63" s="322">
        <f t="shared" si="3"/>
        <v>0</v>
      </c>
      <c r="L63" s="322"/>
      <c r="M63" s="325"/>
      <c r="N63" s="329"/>
      <c r="O63" s="325"/>
    </row>
    <row r="64" spans="1:15" s="90" customFormat="1" ht="15">
      <c r="A64" s="40" t="s">
        <v>302</v>
      </c>
      <c r="B64" s="42" t="s">
        <v>864</v>
      </c>
      <c r="C64" s="123" t="s">
        <v>195</v>
      </c>
      <c r="D64" s="42" t="s">
        <v>9</v>
      </c>
      <c r="E64" s="116">
        <v>2</v>
      </c>
      <c r="F64" s="114">
        <v>49.13100000000001</v>
      </c>
      <c r="G64" s="114">
        <f t="shared" si="10"/>
        <v>60.62</v>
      </c>
      <c r="H64" s="115">
        <f t="shared" si="11"/>
        <v>98.26</v>
      </c>
      <c r="I64" s="115">
        <f t="shared" si="12"/>
        <v>121.24</v>
      </c>
      <c r="J64" s="9">
        <v>60.62</v>
      </c>
      <c r="K64" s="322">
        <f t="shared" si="3"/>
        <v>0</v>
      </c>
      <c r="L64" s="322"/>
      <c r="M64" s="325"/>
      <c r="N64" s="329"/>
      <c r="O64" s="325"/>
    </row>
    <row r="65" spans="1:15" s="90" customFormat="1" ht="15">
      <c r="A65" s="40" t="s">
        <v>303</v>
      </c>
      <c r="B65" s="42" t="s">
        <v>865</v>
      </c>
      <c r="C65" s="123" t="s">
        <v>197</v>
      </c>
      <c r="D65" s="42" t="s">
        <v>9</v>
      </c>
      <c r="E65" s="116">
        <v>1</v>
      </c>
      <c r="F65" s="114">
        <v>74.13</v>
      </c>
      <c r="G65" s="114">
        <f t="shared" si="10"/>
        <v>91.46</v>
      </c>
      <c r="H65" s="115">
        <f t="shared" si="11"/>
        <v>74.13</v>
      </c>
      <c r="I65" s="115">
        <f t="shared" si="12"/>
        <v>91.46</v>
      </c>
      <c r="J65" s="9">
        <v>91.46</v>
      </c>
      <c r="K65" s="322">
        <f t="shared" si="3"/>
        <v>0</v>
      </c>
      <c r="L65" s="322"/>
      <c r="M65" s="325"/>
      <c r="N65" s="329"/>
      <c r="O65" s="325"/>
    </row>
    <row r="66" spans="1:15" s="90" customFormat="1" ht="45">
      <c r="A66" s="40" t="s">
        <v>304</v>
      </c>
      <c r="B66" s="42" t="s">
        <v>202</v>
      </c>
      <c r="C66" s="123" t="s">
        <v>203</v>
      </c>
      <c r="D66" s="42" t="s">
        <v>9</v>
      </c>
      <c r="E66" s="116">
        <v>1</v>
      </c>
      <c r="F66" s="114">
        <v>3666.11</v>
      </c>
      <c r="G66" s="114">
        <f t="shared" si="10"/>
        <v>4523.25</v>
      </c>
      <c r="H66" s="115">
        <f t="shared" si="11"/>
        <v>3666.11</v>
      </c>
      <c r="I66" s="115">
        <f t="shared" si="12"/>
        <v>4523.25</v>
      </c>
      <c r="J66" s="9">
        <v>4523.25</v>
      </c>
      <c r="K66" s="322">
        <f t="shared" si="3"/>
        <v>0</v>
      </c>
      <c r="L66" s="322"/>
      <c r="M66" s="325"/>
      <c r="N66" s="329"/>
      <c r="O66" s="325"/>
    </row>
    <row r="67" spans="1:15" s="90" customFormat="1" ht="15">
      <c r="A67" s="40" t="s">
        <v>305</v>
      </c>
      <c r="B67" s="42" t="s">
        <v>862</v>
      </c>
      <c r="C67" s="123" t="s">
        <v>177</v>
      </c>
      <c r="D67" s="42" t="s">
        <v>9</v>
      </c>
      <c r="E67" s="116">
        <v>1</v>
      </c>
      <c r="F67" s="114">
        <v>54.59</v>
      </c>
      <c r="G67" s="114">
        <f t="shared" si="10"/>
        <v>67.35</v>
      </c>
      <c r="H67" s="115">
        <f t="shared" si="11"/>
        <v>54.59</v>
      </c>
      <c r="I67" s="115">
        <f t="shared" si="12"/>
        <v>67.35</v>
      </c>
      <c r="J67" s="9">
        <v>67.35</v>
      </c>
      <c r="K67" s="322">
        <f t="shared" si="3"/>
        <v>0</v>
      </c>
      <c r="L67" s="322"/>
      <c r="M67" s="325"/>
      <c r="N67" s="329"/>
      <c r="O67" s="325"/>
    </row>
    <row r="68" spans="1:15" s="90" customFormat="1" ht="45">
      <c r="A68" s="40" t="s">
        <v>306</v>
      </c>
      <c r="B68" s="42" t="s">
        <v>206</v>
      </c>
      <c r="C68" s="123" t="s">
        <v>90</v>
      </c>
      <c r="D68" s="42" t="s">
        <v>10</v>
      </c>
      <c r="E68" s="116">
        <v>600</v>
      </c>
      <c r="F68" s="114">
        <v>5.76</v>
      </c>
      <c r="G68" s="114">
        <f t="shared" si="10"/>
        <v>7.11</v>
      </c>
      <c r="H68" s="115">
        <f t="shared" si="11"/>
        <v>3456</v>
      </c>
      <c r="I68" s="115">
        <f t="shared" si="12"/>
        <v>4266</v>
      </c>
      <c r="J68" s="9">
        <v>7.11</v>
      </c>
      <c r="K68" s="322">
        <f t="shared" si="3"/>
        <v>0</v>
      </c>
      <c r="L68" s="322"/>
      <c r="M68" s="325"/>
      <c r="N68" s="329"/>
      <c r="O68" s="325"/>
    </row>
    <row r="69" spans="1:15" s="90" customFormat="1" ht="45">
      <c r="A69" s="40" t="s">
        <v>307</v>
      </c>
      <c r="B69" s="42" t="s">
        <v>207</v>
      </c>
      <c r="C69" s="123" t="s">
        <v>208</v>
      </c>
      <c r="D69" s="42" t="s">
        <v>10</v>
      </c>
      <c r="E69" s="116">
        <v>55</v>
      </c>
      <c r="F69" s="114">
        <v>7.34</v>
      </c>
      <c r="G69" s="114">
        <f t="shared" si="10"/>
        <v>9.06</v>
      </c>
      <c r="H69" s="115">
        <f t="shared" si="11"/>
        <v>403.7</v>
      </c>
      <c r="I69" s="115">
        <f t="shared" si="12"/>
        <v>498.3</v>
      </c>
      <c r="J69" s="9">
        <v>9.06</v>
      </c>
      <c r="K69" s="322">
        <f t="shared" si="3"/>
        <v>0</v>
      </c>
      <c r="L69" s="322"/>
      <c r="M69" s="325"/>
      <c r="N69" s="329"/>
      <c r="O69" s="325"/>
    </row>
    <row r="70" spans="1:15" s="90" customFormat="1" ht="45">
      <c r="A70" s="40" t="s">
        <v>308</v>
      </c>
      <c r="B70" s="42" t="s">
        <v>211</v>
      </c>
      <c r="C70" s="123" t="s">
        <v>212</v>
      </c>
      <c r="D70" s="42" t="s">
        <v>10</v>
      </c>
      <c r="E70" s="116">
        <v>20</v>
      </c>
      <c r="F70" s="114">
        <v>10.24</v>
      </c>
      <c r="G70" s="114">
        <f t="shared" si="10"/>
        <v>12.63</v>
      </c>
      <c r="H70" s="115">
        <f t="shared" si="11"/>
        <v>204.8</v>
      </c>
      <c r="I70" s="115">
        <f t="shared" si="12"/>
        <v>252.6</v>
      </c>
      <c r="J70" s="9">
        <v>12.63</v>
      </c>
      <c r="K70" s="322">
        <f t="shared" si="3"/>
        <v>0</v>
      </c>
      <c r="L70" s="322"/>
      <c r="M70" s="325"/>
      <c r="N70" s="329"/>
      <c r="O70" s="325"/>
    </row>
    <row r="71" spans="1:15" s="90" customFormat="1" ht="45">
      <c r="A71" s="40" t="s">
        <v>309</v>
      </c>
      <c r="B71" s="42" t="s">
        <v>213</v>
      </c>
      <c r="C71" s="123" t="s">
        <v>214</v>
      </c>
      <c r="D71" s="42" t="s">
        <v>10</v>
      </c>
      <c r="E71" s="116">
        <v>175</v>
      </c>
      <c r="F71" s="114">
        <v>17.51</v>
      </c>
      <c r="G71" s="114">
        <f t="shared" si="10"/>
        <v>21.6</v>
      </c>
      <c r="H71" s="115">
        <f t="shared" si="11"/>
        <v>3064.25</v>
      </c>
      <c r="I71" s="115">
        <f t="shared" si="12"/>
        <v>3780</v>
      </c>
      <c r="J71" s="9">
        <v>21.6</v>
      </c>
      <c r="K71" s="322">
        <f t="shared" si="3"/>
        <v>0</v>
      </c>
      <c r="L71" s="322"/>
      <c r="M71" s="325"/>
      <c r="N71" s="329"/>
      <c r="O71" s="325"/>
    </row>
    <row r="72" spans="1:15" s="90" customFormat="1" ht="15">
      <c r="A72" s="40" t="s">
        <v>310</v>
      </c>
      <c r="B72" s="42" t="s">
        <v>866</v>
      </c>
      <c r="C72" s="123" t="s">
        <v>92</v>
      </c>
      <c r="D72" s="42" t="s">
        <v>9</v>
      </c>
      <c r="E72" s="116">
        <v>2</v>
      </c>
      <c r="F72" s="114">
        <v>34.07</v>
      </c>
      <c r="G72" s="114">
        <f t="shared" si="10"/>
        <v>42.04</v>
      </c>
      <c r="H72" s="115">
        <f t="shared" si="11"/>
        <v>68.14</v>
      </c>
      <c r="I72" s="115">
        <f t="shared" si="12"/>
        <v>84.08</v>
      </c>
      <c r="J72" s="9">
        <v>42.04</v>
      </c>
      <c r="K72" s="322">
        <f t="shared" si="3"/>
        <v>0</v>
      </c>
      <c r="L72" s="322"/>
      <c r="M72" s="325"/>
      <c r="N72" s="329"/>
      <c r="O72" s="325"/>
    </row>
    <row r="73" spans="1:15" s="90" customFormat="1" ht="30">
      <c r="A73" s="40" t="s">
        <v>311</v>
      </c>
      <c r="B73" s="42" t="s">
        <v>867</v>
      </c>
      <c r="C73" s="123" t="s">
        <v>216</v>
      </c>
      <c r="D73" s="42" t="s">
        <v>10</v>
      </c>
      <c r="E73" s="116">
        <v>2500</v>
      </c>
      <c r="F73" s="114">
        <v>3.936</v>
      </c>
      <c r="G73" s="114">
        <f t="shared" si="10"/>
        <v>4.86</v>
      </c>
      <c r="H73" s="115">
        <f t="shared" si="11"/>
        <v>9840</v>
      </c>
      <c r="I73" s="115">
        <f t="shared" si="12"/>
        <v>12150</v>
      </c>
      <c r="J73" s="9">
        <v>4.86</v>
      </c>
      <c r="K73" s="322">
        <f t="shared" si="3"/>
        <v>0</v>
      </c>
      <c r="L73" s="322"/>
      <c r="M73" s="325"/>
      <c r="N73" s="329"/>
      <c r="O73" s="325"/>
    </row>
    <row r="74" spans="1:15" s="90" customFormat="1" ht="30">
      <c r="A74" s="40" t="s">
        <v>312</v>
      </c>
      <c r="B74" s="42" t="s">
        <v>868</v>
      </c>
      <c r="C74" s="123" t="s">
        <v>222</v>
      </c>
      <c r="D74" s="42" t="s">
        <v>10</v>
      </c>
      <c r="E74" s="116">
        <v>285</v>
      </c>
      <c r="F74" s="114">
        <v>5.344</v>
      </c>
      <c r="G74" s="114">
        <f t="shared" si="10"/>
        <v>6.59</v>
      </c>
      <c r="H74" s="115">
        <f t="shared" si="11"/>
        <v>1523.04</v>
      </c>
      <c r="I74" s="115">
        <f t="shared" si="12"/>
        <v>1878.15</v>
      </c>
      <c r="J74" s="9">
        <v>6.59</v>
      </c>
      <c r="K74" s="322">
        <f t="shared" si="3"/>
        <v>0</v>
      </c>
      <c r="L74" s="322"/>
      <c r="M74" s="325"/>
      <c r="N74" s="329"/>
      <c r="O74" s="325"/>
    </row>
    <row r="75" spans="1:15" s="90" customFormat="1" ht="30">
      <c r="A75" s="40" t="s">
        <v>313</v>
      </c>
      <c r="B75" s="42" t="s">
        <v>869</v>
      </c>
      <c r="C75" s="123" t="s">
        <v>226</v>
      </c>
      <c r="D75" s="42" t="s">
        <v>10</v>
      </c>
      <c r="E75" s="116">
        <v>16</v>
      </c>
      <c r="F75" s="114">
        <v>8.68</v>
      </c>
      <c r="G75" s="114">
        <f t="shared" si="10"/>
        <v>10.71</v>
      </c>
      <c r="H75" s="115">
        <f t="shared" si="11"/>
        <v>138.88</v>
      </c>
      <c r="I75" s="115">
        <f t="shared" si="12"/>
        <v>171.36</v>
      </c>
      <c r="J75" s="9">
        <v>10.71</v>
      </c>
      <c r="K75" s="322">
        <f t="shared" si="3"/>
        <v>0</v>
      </c>
      <c r="L75" s="322"/>
      <c r="M75" s="325"/>
      <c r="N75" s="329"/>
      <c r="O75" s="325"/>
    </row>
    <row r="76" spans="1:15" s="89" customFormat="1" ht="30">
      <c r="A76" s="40" t="s">
        <v>314</v>
      </c>
      <c r="B76" s="42" t="s">
        <v>870</v>
      </c>
      <c r="C76" s="123" t="s">
        <v>290</v>
      </c>
      <c r="D76" s="42" t="s">
        <v>10</v>
      </c>
      <c r="E76" s="116">
        <v>16</v>
      </c>
      <c r="F76" s="114">
        <v>13.23</v>
      </c>
      <c r="G76" s="114">
        <f t="shared" si="10"/>
        <v>16.32</v>
      </c>
      <c r="H76" s="115">
        <f t="shared" si="11"/>
        <v>211.68</v>
      </c>
      <c r="I76" s="115">
        <f t="shared" si="12"/>
        <v>261.12</v>
      </c>
      <c r="J76" s="9">
        <v>16.32</v>
      </c>
      <c r="K76" s="322">
        <f t="shared" si="3"/>
        <v>0</v>
      </c>
      <c r="L76" s="322"/>
      <c r="M76" s="325"/>
      <c r="N76" s="329"/>
      <c r="O76" s="325"/>
    </row>
    <row r="77" spans="1:15" s="89" customFormat="1" ht="30">
      <c r="A77" s="40" t="s">
        <v>315</v>
      </c>
      <c r="B77" s="42" t="s">
        <v>871</v>
      </c>
      <c r="C77" s="123" t="s">
        <v>291</v>
      </c>
      <c r="D77" s="42" t="s">
        <v>10</v>
      </c>
      <c r="E77" s="116">
        <v>10</v>
      </c>
      <c r="F77" s="114">
        <v>14.512</v>
      </c>
      <c r="G77" s="114">
        <f t="shared" si="10"/>
        <v>17.9</v>
      </c>
      <c r="H77" s="115">
        <f t="shared" si="11"/>
        <v>145.12</v>
      </c>
      <c r="I77" s="115">
        <f t="shared" si="12"/>
        <v>179</v>
      </c>
      <c r="J77" s="9">
        <v>17.9</v>
      </c>
      <c r="K77" s="322">
        <f t="shared" si="3"/>
        <v>0</v>
      </c>
      <c r="L77" s="322"/>
      <c r="M77" s="325"/>
      <c r="N77" s="329"/>
      <c r="O77" s="325"/>
    </row>
    <row r="78" spans="1:15" s="90" customFormat="1" ht="30">
      <c r="A78" s="40" t="s">
        <v>316</v>
      </c>
      <c r="B78" s="42" t="s">
        <v>872</v>
      </c>
      <c r="C78" s="123" t="s">
        <v>228</v>
      </c>
      <c r="D78" s="42" t="s">
        <v>10</v>
      </c>
      <c r="E78" s="116">
        <v>145</v>
      </c>
      <c r="F78" s="114">
        <v>19.36</v>
      </c>
      <c r="G78" s="114">
        <f t="shared" si="10"/>
        <v>23.89</v>
      </c>
      <c r="H78" s="115">
        <f t="shared" si="11"/>
        <v>2807.2</v>
      </c>
      <c r="I78" s="115">
        <f t="shared" si="12"/>
        <v>3464.05</v>
      </c>
      <c r="J78" s="9">
        <v>23.89</v>
      </c>
      <c r="K78" s="322">
        <f aca="true" t="shared" si="13" ref="K78:K109">J78-G78</f>
        <v>0</v>
      </c>
      <c r="L78" s="322"/>
      <c r="M78" s="325"/>
      <c r="N78" s="329"/>
      <c r="O78" s="325"/>
    </row>
    <row r="79" spans="1:15" s="90" customFormat="1" ht="30">
      <c r="A79" s="40" t="s">
        <v>317</v>
      </c>
      <c r="B79" s="42" t="s">
        <v>873</v>
      </c>
      <c r="C79" s="123" t="s">
        <v>230</v>
      </c>
      <c r="D79" s="42" t="s">
        <v>10</v>
      </c>
      <c r="E79" s="116">
        <v>700</v>
      </c>
      <c r="F79" s="114">
        <v>49.712</v>
      </c>
      <c r="G79" s="114">
        <f t="shared" si="10"/>
        <v>61.33</v>
      </c>
      <c r="H79" s="115">
        <f t="shared" si="11"/>
        <v>34798.4</v>
      </c>
      <c r="I79" s="115">
        <f t="shared" si="12"/>
        <v>42931</v>
      </c>
      <c r="J79" s="9">
        <v>61.33</v>
      </c>
      <c r="K79" s="322">
        <f t="shared" si="13"/>
        <v>0</v>
      </c>
      <c r="L79" s="322"/>
      <c r="M79" s="325"/>
      <c r="N79" s="329"/>
      <c r="O79" s="325"/>
    </row>
    <row r="80" spans="1:15" s="90" customFormat="1" ht="15">
      <c r="A80" s="40" t="s">
        <v>318</v>
      </c>
      <c r="B80" s="42" t="s">
        <v>858</v>
      </c>
      <c r="C80" s="123" t="s">
        <v>231</v>
      </c>
      <c r="D80" s="42" t="s">
        <v>9</v>
      </c>
      <c r="E80" s="116">
        <v>6</v>
      </c>
      <c r="F80" s="114">
        <v>184.46</v>
      </c>
      <c r="G80" s="114">
        <f t="shared" si="10"/>
        <v>227.59</v>
      </c>
      <c r="H80" s="115">
        <f t="shared" si="11"/>
        <v>1106.76</v>
      </c>
      <c r="I80" s="115">
        <f t="shared" si="12"/>
        <v>1365.54</v>
      </c>
      <c r="J80" s="9">
        <v>227.59</v>
      </c>
      <c r="K80" s="322">
        <f t="shared" si="13"/>
        <v>0</v>
      </c>
      <c r="L80" s="322"/>
      <c r="M80" s="326"/>
      <c r="N80" s="329"/>
      <c r="O80" s="326"/>
    </row>
    <row r="81" spans="1:15" s="89" customFormat="1" ht="15">
      <c r="A81" s="40" t="s">
        <v>319</v>
      </c>
      <c r="B81" s="42" t="s">
        <v>876</v>
      </c>
      <c r="C81" s="123" t="s">
        <v>271</v>
      </c>
      <c r="D81" s="42" t="s">
        <v>9</v>
      </c>
      <c r="E81" s="116">
        <v>5</v>
      </c>
      <c r="F81" s="114">
        <v>17.66</v>
      </c>
      <c r="G81" s="114">
        <f t="shared" si="10"/>
        <v>21.79</v>
      </c>
      <c r="H81" s="115">
        <f t="shared" si="11"/>
        <v>88.3</v>
      </c>
      <c r="I81" s="115">
        <f t="shared" si="12"/>
        <v>108.95</v>
      </c>
      <c r="J81" s="9">
        <v>21.79</v>
      </c>
      <c r="K81" s="322">
        <f t="shared" si="13"/>
        <v>0</v>
      </c>
      <c r="L81" s="322"/>
      <c r="M81" s="326"/>
      <c r="N81" s="329"/>
      <c r="O81" s="326"/>
    </row>
    <row r="82" spans="1:15" s="90" customFormat="1" ht="15">
      <c r="A82" s="40" t="s">
        <v>320</v>
      </c>
      <c r="B82" s="42" t="s">
        <v>877</v>
      </c>
      <c r="C82" s="123" t="s">
        <v>235</v>
      </c>
      <c r="D82" s="42" t="s">
        <v>9</v>
      </c>
      <c r="E82" s="116">
        <v>5</v>
      </c>
      <c r="F82" s="114">
        <v>18.51</v>
      </c>
      <c r="G82" s="114">
        <f t="shared" si="10"/>
        <v>22.84</v>
      </c>
      <c r="H82" s="115">
        <f t="shared" si="11"/>
        <v>92.55</v>
      </c>
      <c r="I82" s="115">
        <f t="shared" si="12"/>
        <v>114.2</v>
      </c>
      <c r="J82" s="9">
        <v>22.84</v>
      </c>
      <c r="K82" s="322">
        <f t="shared" si="13"/>
        <v>0</v>
      </c>
      <c r="L82" s="322"/>
      <c r="M82" s="325"/>
      <c r="N82" s="329"/>
      <c r="O82" s="325"/>
    </row>
    <row r="83" spans="1:15" s="90" customFormat="1" ht="15">
      <c r="A83" s="40" t="s">
        <v>321</v>
      </c>
      <c r="B83" s="42" t="s">
        <v>878</v>
      </c>
      <c r="C83" s="123" t="s">
        <v>237</v>
      </c>
      <c r="D83" s="42" t="s">
        <v>9</v>
      </c>
      <c r="E83" s="116">
        <v>24</v>
      </c>
      <c r="F83" s="114">
        <v>29.39</v>
      </c>
      <c r="G83" s="114">
        <f t="shared" si="10"/>
        <v>36.26</v>
      </c>
      <c r="H83" s="115">
        <f t="shared" si="11"/>
        <v>705.36</v>
      </c>
      <c r="I83" s="115">
        <f t="shared" si="12"/>
        <v>870.24</v>
      </c>
      <c r="J83" s="9">
        <v>36.26</v>
      </c>
      <c r="K83" s="322">
        <f t="shared" si="13"/>
        <v>0</v>
      </c>
      <c r="L83" s="322"/>
      <c r="M83" s="325"/>
      <c r="N83" s="329"/>
      <c r="O83" s="325"/>
    </row>
    <row r="84" spans="1:15" s="90" customFormat="1" ht="15">
      <c r="A84" s="40" t="s">
        <v>680</v>
      </c>
      <c r="B84" s="42" t="s">
        <v>886</v>
      </c>
      <c r="C84" s="123" t="s">
        <v>681</v>
      </c>
      <c r="D84" s="42" t="s">
        <v>9</v>
      </c>
      <c r="E84" s="116">
        <v>2</v>
      </c>
      <c r="F84" s="114">
        <v>34.07</v>
      </c>
      <c r="G84" s="114">
        <f t="shared" si="10"/>
        <v>42.04</v>
      </c>
      <c r="H84" s="115">
        <f t="shared" si="11"/>
        <v>68.14</v>
      </c>
      <c r="I84" s="115">
        <f t="shared" si="12"/>
        <v>84.08</v>
      </c>
      <c r="J84" s="9">
        <v>42.04</v>
      </c>
      <c r="K84" s="322">
        <f t="shared" si="13"/>
        <v>0</v>
      </c>
      <c r="L84" s="322"/>
      <c r="M84" s="325"/>
      <c r="N84" s="329"/>
      <c r="O84" s="325"/>
    </row>
    <row r="85" spans="1:15" s="134" customFormat="1" ht="15.75">
      <c r="A85" s="63" t="s">
        <v>41</v>
      </c>
      <c r="B85" s="28"/>
      <c r="C85" s="141"/>
      <c r="D85" s="28"/>
      <c r="E85" s="382" t="s">
        <v>110</v>
      </c>
      <c r="F85" s="383"/>
      <c r="G85" s="118"/>
      <c r="H85" s="136">
        <f>SUM(H52:H84)</f>
        <v>146050.58999999997</v>
      </c>
      <c r="I85" s="136">
        <f>SUM(I52:I84)</f>
        <v>180204.43000000002</v>
      </c>
      <c r="J85" s="9"/>
      <c r="K85" s="322">
        <f t="shared" si="13"/>
        <v>0</v>
      </c>
      <c r="L85" s="322"/>
      <c r="M85" s="325"/>
      <c r="N85" s="329"/>
      <c r="O85" s="325"/>
    </row>
    <row r="86" spans="1:15" s="134" customFormat="1" ht="15.75">
      <c r="A86" s="131" t="s">
        <v>111</v>
      </c>
      <c r="B86" s="131"/>
      <c r="C86" s="142" t="s">
        <v>256</v>
      </c>
      <c r="D86" s="138"/>
      <c r="E86" s="139"/>
      <c r="F86" s="140"/>
      <c r="G86" s="140"/>
      <c r="H86" s="136"/>
      <c r="I86" s="143"/>
      <c r="J86" s="9">
        <v>0</v>
      </c>
      <c r="K86" s="322">
        <f t="shared" si="13"/>
        <v>0</v>
      </c>
      <c r="L86" s="322"/>
      <c r="M86" s="326"/>
      <c r="N86" s="329"/>
      <c r="O86" s="326"/>
    </row>
    <row r="87" spans="1:15" ht="30">
      <c r="A87" s="40" t="s">
        <v>112</v>
      </c>
      <c r="B87" s="42" t="s">
        <v>123</v>
      </c>
      <c r="C87" s="123" t="s">
        <v>70</v>
      </c>
      <c r="D87" s="42" t="s">
        <v>0</v>
      </c>
      <c r="E87" s="116">
        <v>31.56</v>
      </c>
      <c r="F87" s="114">
        <v>1005.11</v>
      </c>
      <c r="G87" s="114">
        <f>ROUND((F87*1.2338),2)</f>
        <v>1240.1</v>
      </c>
      <c r="H87" s="115">
        <f>ROUND((E87*F87),2)</f>
        <v>31721.27</v>
      </c>
      <c r="I87" s="115">
        <f>ROUND((E87*G87),2)</f>
        <v>39137.56</v>
      </c>
      <c r="J87" s="9">
        <v>1240.1</v>
      </c>
      <c r="K87" s="322">
        <f t="shared" si="13"/>
        <v>0</v>
      </c>
      <c r="L87" s="322"/>
      <c r="M87" s="325"/>
      <c r="N87" s="329"/>
      <c r="O87" s="325"/>
    </row>
    <row r="88" spans="1:15" ht="15">
      <c r="A88" s="40" t="s">
        <v>113</v>
      </c>
      <c r="B88" s="42" t="s">
        <v>879</v>
      </c>
      <c r="C88" s="123" t="s">
        <v>73</v>
      </c>
      <c r="D88" s="42" t="s">
        <v>9</v>
      </c>
      <c r="E88" s="116">
        <v>2</v>
      </c>
      <c r="F88" s="114">
        <v>160.46</v>
      </c>
      <c r="G88" s="114">
        <f>ROUND((F88*1.2338),2)</f>
        <v>197.98</v>
      </c>
      <c r="H88" s="115">
        <f>ROUND((E88*F88),2)</f>
        <v>320.92</v>
      </c>
      <c r="I88" s="115">
        <f>ROUND((E88*G88),2)</f>
        <v>395.96</v>
      </c>
      <c r="J88" s="9">
        <v>197.98</v>
      </c>
      <c r="K88" s="322">
        <f t="shared" si="13"/>
        <v>0</v>
      </c>
      <c r="L88" s="322"/>
      <c r="M88" s="325"/>
      <c r="N88" s="329"/>
      <c r="O88" s="325"/>
    </row>
    <row r="89" spans="1:15" s="134" customFormat="1" ht="15.75">
      <c r="A89" s="63" t="s">
        <v>41</v>
      </c>
      <c r="B89" s="28"/>
      <c r="C89" s="141"/>
      <c r="D89" s="28"/>
      <c r="E89" s="382" t="s">
        <v>116</v>
      </c>
      <c r="F89" s="383"/>
      <c r="G89" s="118"/>
      <c r="H89" s="136">
        <f>SUM(H87:H88)</f>
        <v>32042.19</v>
      </c>
      <c r="I89" s="136">
        <f>SUM(I87:I88)</f>
        <v>39533.52</v>
      </c>
      <c r="J89" s="9"/>
      <c r="K89" s="322">
        <f t="shared" si="13"/>
        <v>0</v>
      </c>
      <c r="L89" s="322"/>
      <c r="M89" s="325"/>
      <c r="N89" s="329"/>
      <c r="O89" s="325"/>
    </row>
    <row r="90" spans="1:15" s="134" customFormat="1" ht="15.75">
      <c r="A90" s="131" t="s">
        <v>117</v>
      </c>
      <c r="B90" s="131"/>
      <c r="C90" s="142" t="s">
        <v>252</v>
      </c>
      <c r="D90" s="138"/>
      <c r="E90" s="139"/>
      <c r="F90" s="140"/>
      <c r="G90" s="140"/>
      <c r="H90" s="136"/>
      <c r="I90" s="143"/>
      <c r="J90" s="9">
        <v>0</v>
      </c>
      <c r="K90" s="322">
        <f t="shared" si="13"/>
        <v>0</v>
      </c>
      <c r="L90" s="322"/>
      <c r="M90" s="325"/>
      <c r="N90" s="329"/>
      <c r="O90" s="325"/>
    </row>
    <row r="91" spans="1:15" s="89" customFormat="1" ht="15">
      <c r="A91" s="40" t="s">
        <v>238</v>
      </c>
      <c r="B91" s="42" t="s">
        <v>880</v>
      </c>
      <c r="C91" s="123" t="s">
        <v>300</v>
      </c>
      <c r="D91" s="42" t="s">
        <v>0</v>
      </c>
      <c r="E91" s="116">
        <v>2406.84</v>
      </c>
      <c r="F91" s="114">
        <v>3.11</v>
      </c>
      <c r="G91" s="114">
        <f>ROUND((F91*1.2338),2)</f>
        <v>3.84</v>
      </c>
      <c r="H91" s="115">
        <f>ROUND((E91*F91),2)</f>
        <v>7485.27</v>
      </c>
      <c r="I91" s="115">
        <f>ROUND((E91*G91),2)</f>
        <v>9242.27</v>
      </c>
      <c r="J91" s="9">
        <v>3.84</v>
      </c>
      <c r="K91" s="322">
        <f t="shared" si="13"/>
        <v>0</v>
      </c>
      <c r="L91" s="322"/>
      <c r="M91" s="324"/>
      <c r="N91" s="329"/>
      <c r="O91" s="324"/>
    </row>
    <row r="92" spans="1:15" s="89" customFormat="1" ht="30">
      <c r="A92" s="40" t="s">
        <v>239</v>
      </c>
      <c r="B92" s="42" t="s">
        <v>881</v>
      </c>
      <c r="C92" s="123" t="s">
        <v>301</v>
      </c>
      <c r="D92" s="42" t="s">
        <v>0</v>
      </c>
      <c r="E92" s="116">
        <v>2406.84</v>
      </c>
      <c r="F92" s="114">
        <v>12.36</v>
      </c>
      <c r="G92" s="114">
        <f>ROUND((F92*1.2338),2)</f>
        <v>15.25</v>
      </c>
      <c r="H92" s="115">
        <f>ROUND((E92*F92),2)</f>
        <v>29748.54</v>
      </c>
      <c r="I92" s="115">
        <f>ROUND((E92*G92),2)</f>
        <v>36704.31</v>
      </c>
      <c r="J92" s="9">
        <v>15.25</v>
      </c>
      <c r="K92" s="322">
        <f t="shared" si="13"/>
        <v>0</v>
      </c>
      <c r="L92" s="322"/>
      <c r="M92" s="324"/>
      <c r="N92" s="329"/>
      <c r="O92" s="324"/>
    </row>
    <row r="93" spans="1:15" s="91" customFormat="1" ht="30">
      <c r="A93" s="40" t="s">
        <v>240</v>
      </c>
      <c r="B93" s="42" t="s">
        <v>882</v>
      </c>
      <c r="C93" s="123" t="s">
        <v>276</v>
      </c>
      <c r="D93" s="42" t="s">
        <v>0</v>
      </c>
      <c r="E93" s="116">
        <v>100.02</v>
      </c>
      <c r="F93" s="114">
        <v>19.95</v>
      </c>
      <c r="G93" s="114">
        <f>ROUND((F93*1.2338),2)</f>
        <v>24.61</v>
      </c>
      <c r="H93" s="115">
        <f>ROUND((E93*F93),2)</f>
        <v>1995.4</v>
      </c>
      <c r="I93" s="115">
        <f>ROUND((E93*G93),2)</f>
        <v>2461.49</v>
      </c>
      <c r="J93" s="9">
        <v>24.61</v>
      </c>
      <c r="K93" s="322">
        <f t="shared" si="13"/>
        <v>0</v>
      </c>
      <c r="L93" s="322"/>
      <c r="M93" s="323"/>
      <c r="N93" s="329"/>
      <c r="O93" s="323"/>
    </row>
    <row r="94" spans="1:15" s="134" customFormat="1" ht="15.75">
      <c r="A94" s="63" t="s">
        <v>41</v>
      </c>
      <c r="B94" s="28"/>
      <c r="C94" s="141"/>
      <c r="D94" s="28"/>
      <c r="E94" s="382" t="s">
        <v>161</v>
      </c>
      <c r="F94" s="383"/>
      <c r="G94" s="118"/>
      <c r="H94" s="136">
        <f>SUM(H91:H93)</f>
        <v>39229.21</v>
      </c>
      <c r="I94" s="136">
        <f>SUM(I91:I93)</f>
        <v>48408.07</v>
      </c>
      <c r="J94" s="9"/>
      <c r="K94" s="322">
        <f t="shared" si="13"/>
        <v>0</v>
      </c>
      <c r="L94" s="322"/>
      <c r="M94" s="323"/>
      <c r="N94" s="329"/>
      <c r="O94" s="323"/>
    </row>
    <row r="95" spans="1:15" s="134" customFormat="1" ht="15.75">
      <c r="A95" s="131" t="s">
        <v>241</v>
      </c>
      <c r="B95" s="131"/>
      <c r="C95" s="142" t="s">
        <v>67</v>
      </c>
      <c r="D95" s="138"/>
      <c r="E95" s="139"/>
      <c r="F95" s="140"/>
      <c r="G95" s="140"/>
      <c r="H95" s="136"/>
      <c r="I95" s="143"/>
      <c r="J95" s="9">
        <v>0</v>
      </c>
      <c r="K95" s="322">
        <f t="shared" si="13"/>
        <v>0</v>
      </c>
      <c r="L95" s="322"/>
      <c r="M95" s="323"/>
      <c r="N95" s="329"/>
      <c r="O95" s="323"/>
    </row>
    <row r="96" spans="1:15" ht="15.75">
      <c r="A96" s="341" t="s">
        <v>242</v>
      </c>
      <c r="B96" s="342">
        <v>85180</v>
      </c>
      <c r="C96" s="343" t="s">
        <v>826</v>
      </c>
      <c r="D96" s="342" t="s">
        <v>0</v>
      </c>
      <c r="E96" s="344">
        <v>4998.3099999999995</v>
      </c>
      <c r="F96" s="345">
        <v>11.592</v>
      </c>
      <c r="G96" s="345">
        <f>ROUND((F96*1.2338),2)</f>
        <v>14.3</v>
      </c>
      <c r="H96" s="346">
        <f>ROUND((E96*F96),2)</f>
        <v>57940.41</v>
      </c>
      <c r="I96" s="346">
        <f>ROUNDUP((E96*G96),2)</f>
        <v>71475.84</v>
      </c>
      <c r="J96" s="9">
        <v>14.3</v>
      </c>
      <c r="K96" s="322">
        <f t="shared" si="13"/>
        <v>0</v>
      </c>
      <c r="L96" s="322"/>
      <c r="M96" s="324"/>
      <c r="N96" s="329"/>
      <c r="O96" s="324"/>
    </row>
    <row r="97" spans="1:15" s="134" customFormat="1" ht="15.75">
      <c r="A97" s="63" t="s">
        <v>41</v>
      </c>
      <c r="B97" s="28"/>
      <c r="C97" s="141"/>
      <c r="D97" s="28"/>
      <c r="E97" s="382" t="s">
        <v>243</v>
      </c>
      <c r="F97" s="383"/>
      <c r="G97" s="118"/>
      <c r="H97" s="136">
        <f>SUM(H96)</f>
        <v>57940.41</v>
      </c>
      <c r="I97" s="136">
        <f>SUM(I96)</f>
        <v>71475.84</v>
      </c>
      <c r="J97" s="9"/>
      <c r="K97" s="322">
        <f t="shared" si="13"/>
        <v>0</v>
      </c>
      <c r="L97" s="322"/>
      <c r="M97" s="324"/>
      <c r="N97" s="329"/>
      <c r="O97" s="324"/>
    </row>
    <row r="98" spans="1:15" s="134" customFormat="1" ht="15.75">
      <c r="A98" s="131" t="s">
        <v>244</v>
      </c>
      <c r="B98" s="131"/>
      <c r="C98" s="142" t="s">
        <v>890</v>
      </c>
      <c r="D98" s="335"/>
      <c r="E98" s="139"/>
      <c r="F98" s="140"/>
      <c r="G98" s="140"/>
      <c r="H98" s="136"/>
      <c r="I98" s="136"/>
      <c r="J98" s="9">
        <v>0</v>
      </c>
      <c r="K98" s="322">
        <f t="shared" si="13"/>
        <v>0</v>
      </c>
      <c r="L98" s="322"/>
      <c r="M98" s="325"/>
      <c r="N98" s="329"/>
      <c r="O98" s="325"/>
    </row>
    <row r="99" spans="1:15" s="89" customFormat="1" ht="15">
      <c r="A99" s="40" t="s">
        <v>245</v>
      </c>
      <c r="B99" s="40" t="s">
        <v>894</v>
      </c>
      <c r="C99" s="123" t="s">
        <v>895</v>
      </c>
      <c r="D99" s="42" t="s">
        <v>0</v>
      </c>
      <c r="E99" s="116">
        <v>3.05</v>
      </c>
      <c r="F99" s="114">
        <v>10.25</v>
      </c>
      <c r="G99" s="114">
        <f aca="true" t="shared" si="14" ref="G99:G104">ROUND((F99*1.2338),2)</f>
        <v>12.65</v>
      </c>
      <c r="H99" s="115">
        <f aca="true" t="shared" si="15" ref="H99:H104">ROUND((E99*F99),2)</f>
        <v>31.26</v>
      </c>
      <c r="I99" s="115">
        <f aca="true" t="shared" si="16" ref="I99:I104">ROUND((E99*G99),2)</f>
        <v>38.58</v>
      </c>
      <c r="J99" s="9">
        <v>12.65</v>
      </c>
      <c r="K99" s="322">
        <f t="shared" si="13"/>
        <v>0</v>
      </c>
      <c r="L99" s="322"/>
      <c r="M99" s="325"/>
      <c r="N99" s="329"/>
      <c r="O99" s="325"/>
    </row>
    <row r="100" spans="1:15" s="89" customFormat="1" ht="30">
      <c r="A100" s="40" t="s">
        <v>246</v>
      </c>
      <c r="B100" s="40" t="s">
        <v>120</v>
      </c>
      <c r="C100" s="123" t="s">
        <v>462</v>
      </c>
      <c r="D100" s="42" t="s">
        <v>10</v>
      </c>
      <c r="E100" s="116">
        <v>9.44</v>
      </c>
      <c r="F100" s="114">
        <v>37.49</v>
      </c>
      <c r="G100" s="114">
        <f t="shared" si="14"/>
        <v>46.26</v>
      </c>
      <c r="H100" s="115">
        <f t="shared" si="15"/>
        <v>353.91</v>
      </c>
      <c r="I100" s="115">
        <f t="shared" si="16"/>
        <v>436.69</v>
      </c>
      <c r="J100" s="9">
        <v>46.26</v>
      </c>
      <c r="K100" s="322">
        <f t="shared" si="13"/>
        <v>0</v>
      </c>
      <c r="L100" s="322"/>
      <c r="M100" s="324"/>
      <c r="N100" s="329"/>
      <c r="O100" s="324"/>
    </row>
    <row r="101" spans="1:15" s="89" customFormat="1" ht="30">
      <c r="A101" s="40" t="s">
        <v>247</v>
      </c>
      <c r="B101" s="40" t="s">
        <v>952</v>
      </c>
      <c r="C101" s="123" t="s">
        <v>949</v>
      </c>
      <c r="D101" s="42" t="s">
        <v>0</v>
      </c>
      <c r="E101" s="116">
        <v>8.3</v>
      </c>
      <c r="F101" s="114">
        <v>68.25</v>
      </c>
      <c r="G101" s="114">
        <f t="shared" si="14"/>
        <v>84.21</v>
      </c>
      <c r="H101" s="115">
        <f t="shared" si="15"/>
        <v>566.48</v>
      </c>
      <c r="I101" s="115">
        <f t="shared" si="16"/>
        <v>698.94</v>
      </c>
      <c r="J101" s="9">
        <v>84.21</v>
      </c>
      <c r="K101" s="322">
        <f t="shared" si="13"/>
        <v>0</v>
      </c>
      <c r="L101" s="322"/>
      <c r="M101" s="324"/>
      <c r="N101" s="329"/>
      <c r="O101" s="324"/>
    </row>
    <row r="102" spans="1:15" s="89" customFormat="1" ht="30">
      <c r="A102" s="40" t="s">
        <v>891</v>
      </c>
      <c r="B102" s="40" t="s">
        <v>919</v>
      </c>
      <c r="C102" s="123" t="s">
        <v>938</v>
      </c>
      <c r="D102" s="42" t="s">
        <v>0</v>
      </c>
      <c r="E102" s="116">
        <v>1.25</v>
      </c>
      <c r="F102" s="114">
        <v>122.35</v>
      </c>
      <c r="G102" s="114">
        <f t="shared" si="14"/>
        <v>150.96</v>
      </c>
      <c r="H102" s="115">
        <f t="shared" si="15"/>
        <v>152.94</v>
      </c>
      <c r="I102" s="115">
        <f t="shared" si="16"/>
        <v>188.7</v>
      </c>
      <c r="J102" s="9">
        <v>150.96</v>
      </c>
      <c r="K102" s="322">
        <f t="shared" si="13"/>
        <v>0</v>
      </c>
      <c r="L102" s="322"/>
      <c r="M102" s="326"/>
      <c r="N102" s="329"/>
      <c r="O102" s="326"/>
    </row>
    <row r="103" spans="1:15" s="89" customFormat="1" ht="30">
      <c r="A103" s="40" t="s">
        <v>892</v>
      </c>
      <c r="B103" s="40" t="s">
        <v>933</v>
      </c>
      <c r="C103" s="123" t="s">
        <v>937</v>
      </c>
      <c r="D103" s="42" t="s">
        <v>0</v>
      </c>
      <c r="E103" s="116">
        <v>1.19</v>
      </c>
      <c r="F103" s="114">
        <v>122.35</v>
      </c>
      <c r="G103" s="114">
        <f t="shared" si="14"/>
        <v>150.96</v>
      </c>
      <c r="H103" s="115">
        <f t="shared" si="15"/>
        <v>145.6</v>
      </c>
      <c r="I103" s="115">
        <f t="shared" si="16"/>
        <v>179.64</v>
      </c>
      <c r="J103" s="9">
        <v>150.96</v>
      </c>
      <c r="K103" s="322">
        <f t="shared" si="13"/>
        <v>0</v>
      </c>
      <c r="L103" s="322"/>
      <c r="M103" s="326"/>
      <c r="N103" s="329"/>
      <c r="O103" s="326"/>
    </row>
    <row r="104" spans="1:15" s="89" customFormat="1" ht="45">
      <c r="A104" s="40" t="s">
        <v>893</v>
      </c>
      <c r="B104" s="40" t="s">
        <v>941</v>
      </c>
      <c r="C104" s="123" t="s">
        <v>943</v>
      </c>
      <c r="D104" s="42" t="s">
        <v>0</v>
      </c>
      <c r="E104" s="116">
        <v>5.86</v>
      </c>
      <c r="F104" s="114">
        <v>50.02</v>
      </c>
      <c r="G104" s="114">
        <f t="shared" si="14"/>
        <v>61.71</v>
      </c>
      <c r="H104" s="115">
        <f t="shared" si="15"/>
        <v>293.12</v>
      </c>
      <c r="I104" s="115">
        <f t="shared" si="16"/>
        <v>361.62</v>
      </c>
      <c r="J104" s="9">
        <v>61.71</v>
      </c>
      <c r="K104" s="322">
        <f t="shared" si="13"/>
        <v>0</v>
      </c>
      <c r="L104" s="322"/>
      <c r="M104" s="326"/>
      <c r="N104" s="329"/>
      <c r="O104" s="326"/>
    </row>
    <row r="105" spans="1:15" s="134" customFormat="1" ht="15.75">
      <c r="A105" s="63" t="s">
        <v>41</v>
      </c>
      <c r="B105" s="28"/>
      <c r="C105" s="141"/>
      <c r="D105" s="28"/>
      <c r="E105" s="382" t="s">
        <v>251</v>
      </c>
      <c r="F105" s="383"/>
      <c r="G105" s="118"/>
      <c r="H105" s="136">
        <f>SUM(H99:H104)</f>
        <v>1543.31</v>
      </c>
      <c r="I105" s="136">
        <f>SUM(I99:I104)</f>
        <v>1904.17</v>
      </c>
      <c r="J105" s="9"/>
      <c r="K105" s="322">
        <f t="shared" si="13"/>
        <v>0</v>
      </c>
      <c r="L105" s="322"/>
      <c r="M105" s="326"/>
      <c r="N105" s="329"/>
      <c r="O105" s="326"/>
    </row>
    <row r="106" spans="1:15" s="134" customFormat="1" ht="15.75">
      <c r="A106" s="131" t="s">
        <v>944</v>
      </c>
      <c r="B106" s="131"/>
      <c r="C106" s="142" t="s">
        <v>357</v>
      </c>
      <c r="D106" s="138"/>
      <c r="E106" s="139"/>
      <c r="F106" s="140"/>
      <c r="G106" s="140"/>
      <c r="H106" s="136"/>
      <c r="I106" s="143"/>
      <c r="J106" s="9">
        <v>0</v>
      </c>
      <c r="K106" s="322">
        <f t="shared" si="13"/>
        <v>0</v>
      </c>
      <c r="L106" s="322"/>
      <c r="M106" s="324"/>
      <c r="N106" s="329"/>
      <c r="O106" s="324"/>
    </row>
    <row r="107" spans="1:15" ht="15.75">
      <c r="A107" s="341" t="s">
        <v>945</v>
      </c>
      <c r="B107" s="342" t="s">
        <v>883</v>
      </c>
      <c r="C107" s="343" t="s">
        <v>297</v>
      </c>
      <c r="D107" s="342" t="s">
        <v>11</v>
      </c>
      <c r="E107" s="344">
        <v>209.8615</v>
      </c>
      <c r="F107" s="345">
        <v>4.09</v>
      </c>
      <c r="G107" s="345">
        <f>ROUNDUP((F107*1.2338),2)</f>
        <v>5.05</v>
      </c>
      <c r="H107" s="346">
        <f>ROUNDUP((E107*F107),2)</f>
        <v>858.34</v>
      </c>
      <c r="I107" s="346">
        <f>ROUNDUP((E107*G107),2)</f>
        <v>1059.81</v>
      </c>
      <c r="J107" s="321">
        <v>5.05</v>
      </c>
      <c r="K107" s="322">
        <f t="shared" si="13"/>
        <v>0</v>
      </c>
      <c r="L107" s="322"/>
      <c r="M107" s="326"/>
      <c r="N107" s="329"/>
      <c r="O107" s="326"/>
    </row>
    <row r="108" spans="1:15" ht="31.5">
      <c r="A108" s="341" t="s">
        <v>946</v>
      </c>
      <c r="B108" s="342" t="s">
        <v>884</v>
      </c>
      <c r="C108" s="343" t="s">
        <v>298</v>
      </c>
      <c r="D108" s="342" t="s">
        <v>295</v>
      </c>
      <c r="E108" s="344">
        <v>2308.4618</v>
      </c>
      <c r="F108" s="345">
        <v>1.13</v>
      </c>
      <c r="G108" s="345">
        <f>ROUND((F108*1.2338),2)</f>
        <v>1.39</v>
      </c>
      <c r="H108" s="346">
        <f>ROUNDUP((E108*F108),2)</f>
        <v>2608.57</v>
      </c>
      <c r="I108" s="346">
        <f>ROUNDUP((E108*G108),2)</f>
        <v>3208.7700000000004</v>
      </c>
      <c r="J108" s="9">
        <v>1.39</v>
      </c>
      <c r="K108" s="322">
        <f t="shared" si="13"/>
        <v>0</v>
      </c>
      <c r="L108" s="322"/>
      <c r="M108" s="326"/>
      <c r="N108" s="329"/>
      <c r="O108" s="326"/>
    </row>
    <row r="109" spans="1:15" ht="31.5">
      <c r="A109" s="341" t="s">
        <v>947</v>
      </c>
      <c r="B109" s="342" t="s">
        <v>950</v>
      </c>
      <c r="C109" s="343" t="s">
        <v>109</v>
      </c>
      <c r="D109" s="342" t="s">
        <v>11</v>
      </c>
      <c r="E109" s="344">
        <v>377.75</v>
      </c>
      <c r="F109" s="345">
        <v>30</v>
      </c>
      <c r="G109" s="345">
        <f>ROUNDUP((F109*1.1696),2)</f>
        <v>35.089999999999996</v>
      </c>
      <c r="H109" s="346">
        <f>ROUNDUP((E109*F109),2)</f>
        <v>11332.5</v>
      </c>
      <c r="I109" s="346">
        <f>ROUNDUP((E109*G109),2)</f>
        <v>13255.25</v>
      </c>
      <c r="J109" s="9">
        <v>35.09</v>
      </c>
      <c r="K109" s="322">
        <f t="shared" si="13"/>
        <v>0</v>
      </c>
      <c r="L109" s="322"/>
      <c r="M109" s="328"/>
      <c r="N109" s="329"/>
      <c r="O109" s="328"/>
    </row>
    <row r="110" spans="1:11" s="134" customFormat="1" ht="15.75">
      <c r="A110" s="63" t="s">
        <v>41</v>
      </c>
      <c r="B110" s="135"/>
      <c r="C110" s="27"/>
      <c r="D110" s="28"/>
      <c r="E110" s="382" t="s">
        <v>251</v>
      </c>
      <c r="F110" s="383"/>
      <c r="G110" s="118"/>
      <c r="H110" s="136">
        <f>SUM(H107:H109)</f>
        <v>14799.41</v>
      </c>
      <c r="I110" s="136">
        <f>SUM(I107:I109)</f>
        <v>17523.83</v>
      </c>
      <c r="J110" s="9"/>
      <c r="K110" s="339"/>
    </row>
    <row r="111" spans="1:11" s="134" customFormat="1" ht="15.75">
      <c r="A111" s="63" t="s">
        <v>41</v>
      </c>
      <c r="B111" s="135"/>
      <c r="C111" s="27"/>
      <c r="D111" s="28"/>
      <c r="E111" s="382" t="s">
        <v>631</v>
      </c>
      <c r="F111" s="383"/>
      <c r="G111" s="118"/>
      <c r="H111" s="136">
        <f>H20+H27+H42+H50+H85+H89+H94+H97+H105+H110</f>
        <v>553786.3800000001</v>
      </c>
      <c r="I111" s="136">
        <f>I20+I27+I42+I50+I85+I89+I94+I97+I105+I110</f>
        <v>682567.01</v>
      </c>
      <c r="J111" s="9"/>
      <c r="K111" s="339"/>
    </row>
    <row r="112" spans="1:11" s="134" customFormat="1" ht="81">
      <c r="A112" s="63"/>
      <c r="B112" s="135"/>
      <c r="C112" s="350" t="s">
        <v>978</v>
      </c>
      <c r="D112" s="28"/>
      <c r="E112" s="349"/>
      <c r="F112" s="349"/>
      <c r="G112" s="118"/>
      <c r="H112" s="136"/>
      <c r="I112" s="136"/>
      <c r="J112" s="9"/>
      <c r="K112" s="339"/>
    </row>
    <row r="113" spans="8:10" ht="15">
      <c r="H113" s="126"/>
      <c r="I113" s="126"/>
      <c r="J113" s="9"/>
    </row>
    <row r="114" spans="5:15" ht="18">
      <c r="E114" s="1">
        <f>(1.98+13.32+6.07+102.04+3.47+6.49+5.31+5.33+6.37+3.38+125.25+121.8)*2*3</f>
        <v>2404.86</v>
      </c>
      <c r="H114" s="124" t="s">
        <v>342</v>
      </c>
      <c r="I114" s="125">
        <v>647070.48</v>
      </c>
      <c r="J114" s="9"/>
      <c r="K114" s="339"/>
      <c r="M114" s="134"/>
      <c r="N114" s="134"/>
      <c r="O114" s="134"/>
    </row>
    <row r="115" spans="10:15" ht="15">
      <c r="J115" s="9"/>
      <c r="K115" s="339"/>
      <c r="M115" s="134"/>
      <c r="N115" s="134"/>
      <c r="O115" s="134"/>
    </row>
    <row r="116" spans="4:10" ht="15">
      <c r="D116" s="181"/>
      <c r="E116" s="340"/>
      <c r="I116" s="126">
        <f>I111-I114</f>
        <v>35496.53000000003</v>
      </c>
      <c r="J116" s="9"/>
    </row>
    <row r="117" ht="15">
      <c r="J117" s="9"/>
    </row>
    <row r="118" ht="15">
      <c r="J118" s="9"/>
    </row>
    <row r="119" spans="10:15" ht="15">
      <c r="J119" s="9"/>
      <c r="K119" s="339"/>
      <c r="M119" s="134"/>
      <c r="N119" s="134"/>
      <c r="O119" s="134"/>
    </row>
    <row r="120" spans="10:15" ht="15">
      <c r="J120" s="9"/>
      <c r="K120" s="339"/>
      <c r="M120" s="134"/>
      <c r="N120" s="134"/>
      <c r="O120" s="134"/>
    </row>
    <row r="121" ht="15">
      <c r="J121" s="9"/>
    </row>
    <row r="122" ht="15">
      <c r="J122" s="9"/>
    </row>
    <row r="123" ht="15">
      <c r="J123" s="9"/>
    </row>
    <row r="124" ht="15">
      <c r="J124" s="9"/>
    </row>
    <row r="125" ht="15">
      <c r="J125" s="9"/>
    </row>
    <row r="126" ht="15">
      <c r="J126" s="9"/>
    </row>
    <row r="127" ht="15">
      <c r="J127" s="9"/>
    </row>
    <row r="128" ht="15">
      <c r="J128" s="9"/>
    </row>
    <row r="129" ht="15">
      <c r="J129" s="9"/>
    </row>
    <row r="130" ht="15">
      <c r="J130" s="9"/>
    </row>
    <row r="131" ht="15">
      <c r="J131" s="9"/>
    </row>
    <row r="132" ht="15">
      <c r="J132" s="9"/>
    </row>
    <row r="133" ht="15">
      <c r="J133" s="9"/>
    </row>
    <row r="134" ht="15">
      <c r="J134" s="9"/>
    </row>
    <row r="135" ht="15">
      <c r="J135" s="9"/>
    </row>
    <row r="136" ht="15">
      <c r="J136" s="9"/>
    </row>
    <row r="137" ht="15">
      <c r="J137" s="137"/>
    </row>
    <row r="138" ht="15">
      <c r="J138" s="148"/>
    </row>
  </sheetData>
  <sheetProtection/>
  <mergeCells count="24">
    <mergeCell ref="F3:I3"/>
    <mergeCell ref="F4:I4"/>
    <mergeCell ref="F5:I5"/>
    <mergeCell ref="F6:I6"/>
    <mergeCell ref="F7:I7"/>
    <mergeCell ref="F8:I8"/>
    <mergeCell ref="E111:F111"/>
    <mergeCell ref="A9:I9"/>
    <mergeCell ref="A10:A11"/>
    <mergeCell ref="B10:B11"/>
    <mergeCell ref="C10:C11"/>
    <mergeCell ref="D10:D11"/>
    <mergeCell ref="E10:E11"/>
    <mergeCell ref="F10:I10"/>
    <mergeCell ref="E94:F94"/>
    <mergeCell ref="E97:F97"/>
    <mergeCell ref="E110:F110"/>
    <mergeCell ref="E20:F20"/>
    <mergeCell ref="E27:F27"/>
    <mergeCell ref="E42:F42"/>
    <mergeCell ref="E50:F50"/>
    <mergeCell ref="E85:F85"/>
    <mergeCell ref="E89:F89"/>
    <mergeCell ref="E105:F105"/>
  </mergeCells>
  <printOptions horizontalCentered="1"/>
  <pageMargins left="0.5118110236220472" right="0.5118110236220472" top="0.7874015748031497" bottom="0.7874015748031497" header="0.31496062992125984" footer="0.31496062992125984"/>
  <pageSetup fitToHeight="1000" fitToWidth="1" horizontalDpi="600" verticalDpi="600" orientation="landscape" paperSize="9" scale="48" r:id="rId2"/>
  <headerFooter>
    <oddFooter>&amp;C&amp;A&amp;RPágina &amp;P de &amp;N</oddFooter>
  </headerFooter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Zeros="0" view="pageBreakPreview" zoomScale="40" zoomScaleNormal="70" zoomScaleSheetLayoutView="40" zoomScalePageLayoutView="0" workbookViewId="0" topLeftCell="A1">
      <selection activeCell="G1" sqref="G1:O16384"/>
    </sheetView>
  </sheetViews>
  <sheetFormatPr defaultColWidth="8.8515625" defaultRowHeight="15"/>
  <cols>
    <col min="1" max="1" width="12.7109375" style="279" bestFit="1" customWidth="1"/>
    <col min="2" max="2" width="91.8515625" style="279" customWidth="1"/>
    <col min="3" max="3" width="20.57421875" style="279" bestFit="1" customWidth="1"/>
    <col min="4" max="4" width="29.421875" style="279" customWidth="1"/>
    <col min="5" max="5" width="18.57421875" style="279" customWidth="1"/>
    <col min="6" max="6" width="34.57421875" style="279" customWidth="1"/>
    <col min="7" max="7" width="16.28125" style="279" bestFit="1" customWidth="1"/>
    <col min="8" max="8" width="28.421875" style="279" bestFit="1" customWidth="1"/>
    <col min="9" max="9" width="16.28125" style="279" bestFit="1" customWidth="1"/>
    <col min="10" max="10" width="28.421875" style="279" bestFit="1" customWidth="1"/>
    <col min="11" max="11" width="16.28125" style="279" bestFit="1" customWidth="1"/>
    <col min="12" max="12" width="28.421875" style="279" bestFit="1" customWidth="1"/>
    <col min="13" max="13" width="18.00390625" style="279" bestFit="1" customWidth="1"/>
    <col min="14" max="14" width="28.421875" style="279" bestFit="1" customWidth="1"/>
    <col min="15" max="15" width="26.28125" style="279" bestFit="1" customWidth="1"/>
    <col min="16" max="16" width="21.28125" style="235" bestFit="1" customWidth="1"/>
    <col min="17" max="17" width="19.140625" style="234" bestFit="1" customWidth="1"/>
    <col min="18" max="16384" width="8.8515625" style="235" customWidth="1"/>
  </cols>
  <sheetData>
    <row r="1" spans="1:16" ht="39.75" customHeight="1">
      <c r="A1" s="419" t="s">
        <v>25</v>
      </c>
      <c r="B1" s="420"/>
      <c r="C1" s="420"/>
      <c r="D1" s="420"/>
      <c r="E1" s="420"/>
      <c r="F1" s="420"/>
      <c r="G1" s="230"/>
      <c r="H1" s="230"/>
      <c r="I1" s="230"/>
      <c r="J1" s="230"/>
      <c r="K1" s="231"/>
      <c r="L1" s="231"/>
      <c r="M1" s="231"/>
      <c r="N1" s="231"/>
      <c r="O1" s="232"/>
      <c r="P1" s="233"/>
    </row>
    <row r="2" spans="1:16" ht="39.75" customHeight="1">
      <c r="A2" s="421" t="s">
        <v>26</v>
      </c>
      <c r="B2" s="422"/>
      <c r="C2" s="422"/>
      <c r="D2" s="422"/>
      <c r="E2" s="422"/>
      <c r="F2" s="422"/>
      <c r="G2" s="236"/>
      <c r="H2" s="236"/>
      <c r="I2" s="236"/>
      <c r="J2" s="236"/>
      <c r="K2" s="237"/>
      <c r="L2" s="237"/>
      <c r="M2" s="237"/>
      <c r="N2" s="237"/>
      <c r="O2" s="238"/>
      <c r="P2" s="233"/>
    </row>
    <row r="3" spans="1:16" ht="39.75" customHeight="1">
      <c r="A3" s="421" t="s">
        <v>657</v>
      </c>
      <c r="B3" s="422"/>
      <c r="C3" s="422"/>
      <c r="D3" s="422"/>
      <c r="E3" s="422"/>
      <c r="F3" s="422"/>
      <c r="G3" s="236"/>
      <c r="H3" s="236"/>
      <c r="I3" s="236"/>
      <c r="J3" s="236"/>
      <c r="K3" s="237"/>
      <c r="L3" s="237"/>
      <c r="M3" s="237"/>
      <c r="N3" s="237"/>
      <c r="O3" s="238"/>
      <c r="P3" s="233"/>
    </row>
    <row r="4" spans="1:16" ht="39.75" customHeight="1">
      <c r="A4" s="423" t="s">
        <v>676</v>
      </c>
      <c r="B4" s="424"/>
      <c r="C4" s="424"/>
      <c r="D4" s="424"/>
      <c r="E4" s="424"/>
      <c r="F4" s="424"/>
      <c r="G4" s="239"/>
      <c r="H4" s="239"/>
      <c r="I4" s="239"/>
      <c r="J4" s="239"/>
      <c r="K4" s="240"/>
      <c r="L4" s="240"/>
      <c r="M4" s="240"/>
      <c r="N4" s="240"/>
      <c r="O4" s="238"/>
      <c r="P4" s="233"/>
    </row>
    <row r="5" spans="1:16" ht="39.75" customHeight="1">
      <c r="A5" s="425" t="s">
        <v>677</v>
      </c>
      <c r="B5" s="426"/>
      <c r="C5" s="426"/>
      <c r="D5" s="426"/>
      <c r="E5" s="426"/>
      <c r="F5" s="426"/>
      <c r="G5" s="241"/>
      <c r="H5" s="241"/>
      <c r="I5" s="241"/>
      <c r="J5" s="241"/>
      <c r="K5" s="242"/>
      <c r="L5" s="242"/>
      <c r="M5" s="242"/>
      <c r="N5" s="242"/>
      <c r="O5" s="238"/>
      <c r="P5" s="233"/>
    </row>
    <row r="6" spans="1:16" ht="39.75" customHeight="1">
      <c r="A6" s="427" t="s">
        <v>658</v>
      </c>
      <c r="B6" s="428"/>
      <c r="C6" s="428"/>
      <c r="D6" s="428"/>
      <c r="E6" s="428"/>
      <c r="F6" s="428"/>
      <c r="G6" s="243"/>
      <c r="H6" s="243"/>
      <c r="I6" s="243"/>
      <c r="J6" s="243"/>
      <c r="K6" s="244"/>
      <c r="L6" s="244"/>
      <c r="M6" s="244"/>
      <c r="N6" s="244"/>
      <c r="O6" s="238"/>
      <c r="P6" s="233"/>
    </row>
    <row r="7" spans="1:16" ht="39.75" customHeight="1">
      <c r="A7" s="408" t="s">
        <v>885</v>
      </c>
      <c r="B7" s="409"/>
      <c r="C7" s="409"/>
      <c r="D7" s="409"/>
      <c r="E7" s="409"/>
      <c r="F7" s="409"/>
      <c r="G7" s="245"/>
      <c r="H7" s="245"/>
      <c r="I7" s="245"/>
      <c r="J7" s="245"/>
      <c r="K7" s="246"/>
      <c r="L7" s="246"/>
      <c r="M7" s="246"/>
      <c r="N7" s="246"/>
      <c r="O7" s="238"/>
      <c r="P7" s="233"/>
    </row>
    <row r="8" spans="1:16" ht="39.75" customHeight="1">
      <c r="A8" s="410" t="s">
        <v>274</v>
      </c>
      <c r="B8" s="411"/>
      <c r="C8" s="411"/>
      <c r="D8" s="411"/>
      <c r="E8" s="411"/>
      <c r="F8" s="411"/>
      <c r="G8" s="247"/>
      <c r="H8" s="247"/>
      <c r="I8" s="247"/>
      <c r="J8" s="247"/>
      <c r="K8" s="248"/>
      <c r="L8" s="248"/>
      <c r="M8" s="248"/>
      <c r="N8" s="248"/>
      <c r="O8" s="249"/>
      <c r="P8" s="233"/>
    </row>
    <row r="9" spans="1:16" ht="39.75" customHeight="1">
      <c r="A9" s="412" t="s">
        <v>659</v>
      </c>
      <c r="B9" s="413"/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4"/>
      <c r="P9" s="233"/>
    </row>
    <row r="10" spans="1:18" ht="39.75" customHeight="1">
      <c r="A10" s="415" t="s">
        <v>31</v>
      </c>
      <c r="B10" s="415" t="s">
        <v>660</v>
      </c>
      <c r="C10" s="403" t="s">
        <v>661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250"/>
      <c r="P10" s="233"/>
      <c r="Q10" s="251"/>
      <c r="R10" s="252"/>
    </row>
    <row r="11" spans="1:18" ht="39.75" customHeight="1">
      <c r="A11" s="416"/>
      <c r="B11" s="416"/>
      <c r="C11" s="403" t="s">
        <v>662</v>
      </c>
      <c r="D11" s="404"/>
      <c r="E11" s="403" t="s">
        <v>663</v>
      </c>
      <c r="F11" s="404"/>
      <c r="G11" s="403" t="s">
        <v>664</v>
      </c>
      <c r="H11" s="404"/>
      <c r="I11" s="403" t="s">
        <v>665</v>
      </c>
      <c r="J11" s="404"/>
      <c r="K11" s="403" t="s">
        <v>666</v>
      </c>
      <c r="L11" s="404"/>
      <c r="M11" s="403" t="s">
        <v>667</v>
      </c>
      <c r="N11" s="404"/>
      <c r="O11" s="250" t="s">
        <v>668</v>
      </c>
      <c r="P11" s="233"/>
      <c r="Q11" s="251"/>
      <c r="R11" s="252"/>
    </row>
    <row r="12" spans="1:16" ht="39.75" customHeight="1">
      <c r="A12" s="417"/>
      <c r="B12" s="417"/>
      <c r="C12" s="253" t="s">
        <v>669</v>
      </c>
      <c r="D12" s="254" t="s">
        <v>670</v>
      </c>
      <c r="E12" s="253" t="s">
        <v>669</v>
      </c>
      <c r="F12" s="254" t="s">
        <v>670</v>
      </c>
      <c r="G12" s="253" t="s">
        <v>669</v>
      </c>
      <c r="H12" s="254" t="s">
        <v>670</v>
      </c>
      <c r="I12" s="253" t="s">
        <v>669</v>
      </c>
      <c r="J12" s="254" t="s">
        <v>670</v>
      </c>
      <c r="K12" s="253" t="s">
        <v>669</v>
      </c>
      <c r="L12" s="254" t="s">
        <v>670</v>
      </c>
      <c r="M12" s="253" t="s">
        <v>669</v>
      </c>
      <c r="N12" s="254" t="s">
        <v>670</v>
      </c>
      <c r="O12" s="250" t="s">
        <v>671</v>
      </c>
      <c r="P12" s="233"/>
    </row>
    <row r="13" spans="1:16" ht="39.75" customHeight="1">
      <c r="A13" s="407"/>
      <c r="B13" s="407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6"/>
      <c r="P13" s="234"/>
    </row>
    <row r="14" spans="1:17" ht="39.75" customHeight="1">
      <c r="A14" s="257" t="s">
        <v>37</v>
      </c>
      <c r="B14" s="258" t="s">
        <v>38</v>
      </c>
      <c r="C14" s="259">
        <v>0.5025</v>
      </c>
      <c r="D14" s="260">
        <f>C14*O14</f>
        <v>8717.174024999998</v>
      </c>
      <c r="E14" s="269">
        <v>0</v>
      </c>
      <c r="F14" s="261">
        <f>E14*O14</f>
        <v>0</v>
      </c>
      <c r="G14" s="268">
        <v>0.0974</v>
      </c>
      <c r="H14" s="260">
        <f aca="true" t="shared" si="0" ref="H14:H23">G14*O14</f>
        <v>1689.6572139999996</v>
      </c>
      <c r="I14" s="268">
        <v>0.146</v>
      </c>
      <c r="J14" s="260">
        <f aca="true" t="shared" si="1" ref="J14:J20">I14*O14</f>
        <v>2532.7510599999996</v>
      </c>
      <c r="K14" s="268">
        <v>0.146</v>
      </c>
      <c r="L14" s="260">
        <f aca="true" t="shared" si="2" ref="L14:L20">K14*O14</f>
        <v>2532.7510599999996</v>
      </c>
      <c r="M14" s="268">
        <v>0.1081</v>
      </c>
      <c r="N14" s="260">
        <f aca="true" t="shared" si="3" ref="N14:N23">M14*O14</f>
        <v>1875.2766409999997</v>
      </c>
      <c r="O14" s="263">
        <f>'PLANILHA TOTAL'!I20</f>
        <v>17347.609999999997</v>
      </c>
      <c r="P14" s="264">
        <f>D14+F14+H14+J14+L14+N14</f>
        <v>17347.609999999997</v>
      </c>
      <c r="Q14" s="265">
        <f>O14-P14</f>
        <v>0</v>
      </c>
    </row>
    <row r="15" spans="1:17" ht="26.25">
      <c r="A15" s="257" t="s">
        <v>55</v>
      </c>
      <c r="B15" s="266" t="s">
        <v>678</v>
      </c>
      <c r="C15" s="269">
        <v>0</v>
      </c>
      <c r="D15" s="261">
        <f>C15*O15</f>
        <v>0</v>
      </c>
      <c r="E15" s="269">
        <v>0</v>
      </c>
      <c r="F15" s="261">
        <f aca="true" t="shared" si="4" ref="F15:F23">E15*O15</f>
        <v>0</v>
      </c>
      <c r="G15" s="267">
        <v>0.1713</v>
      </c>
      <c r="H15" s="260">
        <f t="shared" si="0"/>
        <v>36489.375285</v>
      </c>
      <c r="I15" s="267">
        <v>0.4862</v>
      </c>
      <c r="J15" s="260">
        <f t="shared" si="1"/>
        <v>103567.62559000001</v>
      </c>
      <c r="K15" s="267">
        <v>0.2569</v>
      </c>
      <c r="L15" s="260">
        <f t="shared" si="2"/>
        <v>54723.41220500001</v>
      </c>
      <c r="M15" s="268">
        <v>0.0856</v>
      </c>
      <c r="N15" s="260">
        <f t="shared" si="3"/>
        <v>18234.03692</v>
      </c>
      <c r="O15" s="263">
        <f>'PLANILHA TOTAL'!I27</f>
        <v>213014.45</v>
      </c>
      <c r="P15" s="264">
        <f aca="true" t="shared" si="5" ref="P15:P23">D15+F15+H15+J15+L15+N15</f>
        <v>213014.45</v>
      </c>
      <c r="Q15" s="265">
        <f aca="true" t="shared" si="6" ref="Q15:Q20">O15-P15</f>
        <v>0</v>
      </c>
    </row>
    <row r="16" spans="1:17" ht="39.75" customHeight="1">
      <c r="A16" s="257" t="s">
        <v>66</v>
      </c>
      <c r="B16" s="258" t="s">
        <v>146</v>
      </c>
      <c r="C16" s="259">
        <v>0.2114</v>
      </c>
      <c r="D16" s="260">
        <f>C16*O16</f>
        <v>19152.026110000003</v>
      </c>
      <c r="E16" s="259">
        <v>0.2887</v>
      </c>
      <c r="F16" s="260">
        <f t="shared" si="4"/>
        <v>26155.108505000004</v>
      </c>
      <c r="G16" s="267">
        <v>0.4999</v>
      </c>
      <c r="H16" s="260">
        <f t="shared" si="0"/>
        <v>45289.015385000006</v>
      </c>
      <c r="I16" s="262">
        <v>0</v>
      </c>
      <c r="J16" s="261">
        <f t="shared" si="1"/>
        <v>0</v>
      </c>
      <c r="K16" s="262">
        <v>0</v>
      </c>
      <c r="L16" s="261">
        <f t="shared" si="2"/>
        <v>0</v>
      </c>
      <c r="M16" s="262"/>
      <c r="N16" s="261"/>
      <c r="O16" s="263">
        <f>'PLANILHA TOTAL'!I42</f>
        <v>90596.15000000001</v>
      </c>
      <c r="P16" s="264">
        <f t="shared" si="5"/>
        <v>90596.15000000001</v>
      </c>
      <c r="Q16" s="265">
        <f t="shared" si="6"/>
        <v>0</v>
      </c>
    </row>
    <row r="17" spans="1:17" ht="39.75" customHeight="1">
      <c r="A17" s="257" t="s">
        <v>84</v>
      </c>
      <c r="B17" s="258" t="s">
        <v>341</v>
      </c>
      <c r="C17" s="259">
        <v>0.1234</v>
      </c>
      <c r="D17" s="260">
        <f>C17*O17</f>
        <v>315.773196</v>
      </c>
      <c r="E17" s="259">
        <v>0.874</v>
      </c>
      <c r="F17" s="260">
        <f t="shared" si="4"/>
        <v>2236.51356</v>
      </c>
      <c r="G17" s="262">
        <v>0</v>
      </c>
      <c r="H17" s="261">
        <f t="shared" si="0"/>
        <v>0</v>
      </c>
      <c r="I17" s="262">
        <v>0</v>
      </c>
      <c r="J17" s="261">
        <f t="shared" si="1"/>
        <v>0</v>
      </c>
      <c r="K17" s="262">
        <v>0</v>
      </c>
      <c r="L17" s="261">
        <f t="shared" si="2"/>
        <v>0</v>
      </c>
      <c r="M17" s="267">
        <v>0.0026</v>
      </c>
      <c r="N17" s="260">
        <f t="shared" si="3"/>
        <v>6.653244</v>
      </c>
      <c r="O17" s="263">
        <f>'PLANILHA TOTAL'!I50</f>
        <v>2558.94</v>
      </c>
      <c r="P17" s="264">
        <f t="shared" si="5"/>
        <v>2558.94</v>
      </c>
      <c r="Q17" s="265">
        <f t="shared" si="6"/>
        <v>0</v>
      </c>
    </row>
    <row r="18" spans="1:17" ht="39.75" customHeight="1">
      <c r="A18" s="257" t="s">
        <v>104</v>
      </c>
      <c r="B18" s="258" t="s">
        <v>85</v>
      </c>
      <c r="C18" s="259">
        <v>0.1907</v>
      </c>
      <c r="D18" s="260">
        <f>C18*O18</f>
        <v>34364.984801000006</v>
      </c>
      <c r="E18" s="259">
        <v>0.1905</v>
      </c>
      <c r="F18" s="260">
        <f t="shared" si="4"/>
        <v>34328.943915</v>
      </c>
      <c r="G18" s="267">
        <v>0.385</v>
      </c>
      <c r="H18" s="260">
        <f t="shared" si="0"/>
        <v>69378.70555000001</v>
      </c>
      <c r="I18" s="267">
        <v>0.009</v>
      </c>
      <c r="J18" s="260">
        <f t="shared" si="1"/>
        <v>1621.83987</v>
      </c>
      <c r="K18" s="267">
        <v>0.0059</v>
      </c>
      <c r="L18" s="260">
        <f t="shared" si="2"/>
        <v>1063.2061370000001</v>
      </c>
      <c r="M18" s="267">
        <v>0.2189</v>
      </c>
      <c r="N18" s="260">
        <f t="shared" si="3"/>
        <v>39446.74972700001</v>
      </c>
      <c r="O18" s="263">
        <f>'PLANILHA TOTAL'!I85</f>
        <v>180204.43000000002</v>
      </c>
      <c r="P18" s="264">
        <f t="shared" si="5"/>
        <v>180204.43000000002</v>
      </c>
      <c r="Q18" s="265">
        <f t="shared" si="6"/>
        <v>0</v>
      </c>
    </row>
    <row r="19" spans="1:17" ht="39.75" customHeight="1">
      <c r="A19" s="257" t="s">
        <v>111</v>
      </c>
      <c r="B19" s="258" t="s">
        <v>256</v>
      </c>
      <c r="C19" s="269">
        <v>0</v>
      </c>
      <c r="D19" s="269"/>
      <c r="E19" s="269">
        <v>0</v>
      </c>
      <c r="F19" s="261">
        <f t="shared" si="4"/>
        <v>0</v>
      </c>
      <c r="G19" s="262">
        <v>0</v>
      </c>
      <c r="H19" s="261"/>
      <c r="I19" s="262">
        <v>0</v>
      </c>
      <c r="J19" s="261">
        <f t="shared" si="1"/>
        <v>0</v>
      </c>
      <c r="K19" s="262">
        <v>0</v>
      </c>
      <c r="L19" s="261">
        <f t="shared" si="2"/>
        <v>0</v>
      </c>
      <c r="M19" s="267">
        <v>1</v>
      </c>
      <c r="N19" s="260">
        <f t="shared" si="3"/>
        <v>39533.52</v>
      </c>
      <c r="O19" s="263">
        <f>'PLANILHA TOTAL'!I89</f>
        <v>39533.52</v>
      </c>
      <c r="P19" s="264">
        <f t="shared" si="5"/>
        <v>39533.52</v>
      </c>
      <c r="Q19" s="265">
        <f t="shared" si="6"/>
        <v>0</v>
      </c>
    </row>
    <row r="20" spans="1:17" ht="39.75" customHeight="1">
      <c r="A20" s="257" t="s">
        <v>117</v>
      </c>
      <c r="B20" s="258" t="s">
        <v>252</v>
      </c>
      <c r="C20" s="269">
        <v>0</v>
      </c>
      <c r="D20" s="269"/>
      <c r="E20" s="269">
        <v>0</v>
      </c>
      <c r="F20" s="261"/>
      <c r="G20" s="262">
        <v>0</v>
      </c>
      <c r="H20" s="261">
        <f t="shared" si="0"/>
        <v>0</v>
      </c>
      <c r="I20" s="262">
        <v>0</v>
      </c>
      <c r="J20" s="261">
        <f t="shared" si="1"/>
        <v>0</v>
      </c>
      <c r="K20" s="267">
        <v>0.7104</v>
      </c>
      <c r="L20" s="260">
        <f t="shared" si="2"/>
        <v>34389.092928</v>
      </c>
      <c r="M20" s="267">
        <v>0.2896</v>
      </c>
      <c r="N20" s="260">
        <f t="shared" si="3"/>
        <v>14018.977072000001</v>
      </c>
      <c r="O20" s="263">
        <f>'PLANILHA TOTAL'!I94</f>
        <v>48408.07</v>
      </c>
      <c r="P20" s="264">
        <f t="shared" si="5"/>
        <v>48408.07</v>
      </c>
      <c r="Q20" s="265">
        <f t="shared" si="6"/>
        <v>0</v>
      </c>
    </row>
    <row r="21" spans="1:17" ht="39.75" customHeight="1">
      <c r="A21" s="257" t="s">
        <v>241</v>
      </c>
      <c r="B21" s="258" t="s">
        <v>679</v>
      </c>
      <c r="C21" s="269">
        <v>0</v>
      </c>
      <c r="D21" s="269"/>
      <c r="E21" s="269">
        <v>0</v>
      </c>
      <c r="F21" s="269"/>
      <c r="G21" s="269">
        <v>0</v>
      </c>
      <c r="H21" s="269"/>
      <c r="I21" s="269">
        <v>0</v>
      </c>
      <c r="J21" s="269"/>
      <c r="K21" s="262">
        <v>0</v>
      </c>
      <c r="L21" s="262"/>
      <c r="M21" s="267">
        <v>1</v>
      </c>
      <c r="N21" s="260">
        <f t="shared" si="3"/>
        <v>71475.84</v>
      </c>
      <c r="O21" s="263">
        <f>'PLANILHA TOTAL'!I97</f>
        <v>71475.84</v>
      </c>
      <c r="P21" s="264">
        <f t="shared" si="5"/>
        <v>71475.84</v>
      </c>
      <c r="Q21" s="265"/>
    </row>
    <row r="22" spans="1:17" ht="39.75" customHeight="1">
      <c r="A22" s="257" t="s">
        <v>244</v>
      </c>
      <c r="B22" s="258" t="s">
        <v>890</v>
      </c>
      <c r="C22" s="269"/>
      <c r="D22" s="269"/>
      <c r="E22" s="269"/>
      <c r="F22" s="269"/>
      <c r="G22" s="269"/>
      <c r="H22" s="269"/>
      <c r="I22" s="269"/>
      <c r="J22" s="269"/>
      <c r="K22" s="262"/>
      <c r="L22" s="262"/>
      <c r="M22" s="267">
        <v>1</v>
      </c>
      <c r="N22" s="260">
        <f>M22*O22</f>
        <v>1904.17</v>
      </c>
      <c r="O22" s="263">
        <f>'PLANILHA TOTAL'!I105</f>
        <v>1904.17</v>
      </c>
      <c r="P22" s="264">
        <f t="shared" si="5"/>
        <v>1904.17</v>
      </c>
      <c r="Q22" s="265"/>
    </row>
    <row r="23" spans="1:17" ht="39.75" customHeight="1">
      <c r="A23" s="257" t="s">
        <v>944</v>
      </c>
      <c r="B23" s="258" t="s">
        <v>357</v>
      </c>
      <c r="C23" s="259">
        <v>0.19</v>
      </c>
      <c r="D23" s="260">
        <f>C23*O23</f>
        <v>3329.5277000000006</v>
      </c>
      <c r="E23" s="259">
        <v>0.3</v>
      </c>
      <c r="F23" s="260">
        <f t="shared" si="4"/>
        <v>5257.149</v>
      </c>
      <c r="G23" s="268">
        <v>0.4799999999999999</v>
      </c>
      <c r="H23" s="260">
        <f t="shared" si="0"/>
        <v>8411.4384</v>
      </c>
      <c r="I23" s="262">
        <v>0</v>
      </c>
      <c r="J23" s="261"/>
      <c r="K23" s="262">
        <v>0</v>
      </c>
      <c r="L23" s="261"/>
      <c r="M23" s="267">
        <v>0.029999999999999995</v>
      </c>
      <c r="N23" s="260">
        <f t="shared" si="3"/>
        <v>525.7149</v>
      </c>
      <c r="O23" s="263">
        <f>'PLANILHA TOTAL'!I110</f>
        <v>17523.83</v>
      </c>
      <c r="P23" s="264">
        <f t="shared" si="5"/>
        <v>17523.829999999998</v>
      </c>
      <c r="Q23" s="265"/>
    </row>
    <row r="24" spans="1:16" ht="39.75" customHeight="1">
      <c r="A24" s="270">
        <v>0</v>
      </c>
      <c r="B24" s="271"/>
      <c r="C24" s="272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4">
        <f>SUM(O14:O23)</f>
        <v>682567.01</v>
      </c>
      <c r="P24" s="264"/>
    </row>
    <row r="25" spans="1:16" ht="39.75" customHeight="1">
      <c r="A25" s="395" t="s">
        <v>672</v>
      </c>
      <c r="B25" s="396"/>
      <c r="C25" s="405">
        <f>SUM(D14:D23)</f>
        <v>65879.485832</v>
      </c>
      <c r="D25" s="406"/>
      <c r="E25" s="405">
        <f>SUM(F14:F23)</f>
        <v>67977.71498</v>
      </c>
      <c r="F25" s="406"/>
      <c r="G25" s="405">
        <f>SUM(H14:H23)</f>
        <v>161258.191834</v>
      </c>
      <c r="H25" s="406"/>
      <c r="I25" s="405">
        <f>SUM(J14:J23)</f>
        <v>107722.21652</v>
      </c>
      <c r="J25" s="406"/>
      <c r="K25" s="405">
        <f>SUM(L14:L23)</f>
        <v>92708.46233000001</v>
      </c>
      <c r="L25" s="406"/>
      <c r="M25" s="405">
        <f>SUM(N14:N23)</f>
        <v>187020.93850400002</v>
      </c>
      <c r="N25" s="406"/>
      <c r="O25" s="275"/>
      <c r="P25" s="234"/>
    </row>
    <row r="26" spans="1:16" ht="39.75" customHeight="1">
      <c r="A26" s="395" t="s">
        <v>673</v>
      </c>
      <c r="B26" s="396"/>
      <c r="C26" s="397">
        <f>C25</f>
        <v>65879.485832</v>
      </c>
      <c r="D26" s="398"/>
      <c r="E26" s="397">
        <f>C26+E25</f>
        <v>133857.20081200002</v>
      </c>
      <c r="F26" s="398"/>
      <c r="G26" s="397">
        <f>E26+G25</f>
        <v>295115.392646</v>
      </c>
      <c r="H26" s="398"/>
      <c r="I26" s="397">
        <f>G26+I25</f>
        <v>402837.60916600004</v>
      </c>
      <c r="J26" s="398"/>
      <c r="K26" s="397">
        <f>I26+K25</f>
        <v>495546.07149600005</v>
      </c>
      <c r="L26" s="398"/>
      <c r="M26" s="397">
        <f>K26+M25</f>
        <v>682567.01</v>
      </c>
      <c r="N26" s="398"/>
      <c r="O26" s="276"/>
      <c r="P26" s="234"/>
    </row>
    <row r="27" spans="1:16" ht="39.75" customHeight="1">
      <c r="A27" s="401" t="s">
        <v>674</v>
      </c>
      <c r="B27" s="402"/>
      <c r="C27" s="393">
        <f>C25/O24</f>
        <v>0.0965172428008204</v>
      </c>
      <c r="D27" s="394"/>
      <c r="E27" s="393">
        <f>E25/O24</f>
        <v>0.09959126940518266</v>
      </c>
      <c r="F27" s="394"/>
      <c r="G27" s="393">
        <f>G25/O24</f>
        <v>0.2362525429320119</v>
      </c>
      <c r="H27" s="394"/>
      <c r="I27" s="393">
        <f>I25/O24</f>
        <v>0.1578192542883079</v>
      </c>
      <c r="J27" s="394"/>
      <c r="K27" s="393">
        <f>K25/O24</f>
        <v>0.13582323928898937</v>
      </c>
      <c r="L27" s="394"/>
      <c r="M27" s="393">
        <f>M25/O24</f>
        <v>0.2739964512846878</v>
      </c>
      <c r="N27" s="394"/>
      <c r="O27" s="277"/>
      <c r="P27" s="234"/>
    </row>
    <row r="28" spans="1:16" ht="39.75" customHeight="1">
      <c r="A28" s="401" t="s">
        <v>675</v>
      </c>
      <c r="B28" s="402"/>
      <c r="C28" s="393">
        <f>C27</f>
        <v>0.0965172428008204</v>
      </c>
      <c r="D28" s="394"/>
      <c r="E28" s="399">
        <f>C28+E27</f>
        <v>0.19610851220600306</v>
      </c>
      <c r="F28" s="400"/>
      <c r="G28" s="399">
        <f>E28+G27</f>
        <v>0.4323610551380149</v>
      </c>
      <c r="H28" s="400"/>
      <c r="I28" s="399">
        <f>G28+I27</f>
        <v>0.5901803094263228</v>
      </c>
      <c r="J28" s="400"/>
      <c r="K28" s="399">
        <f>I28+K27</f>
        <v>0.7260035487153123</v>
      </c>
      <c r="L28" s="400"/>
      <c r="M28" s="399">
        <f>K28+M27</f>
        <v>1</v>
      </c>
      <c r="N28" s="400"/>
      <c r="O28" s="278"/>
      <c r="P28" s="234"/>
    </row>
  </sheetData>
  <sheetProtection/>
  <mergeCells count="47">
    <mergeCell ref="A1:F1"/>
    <mergeCell ref="A2:F2"/>
    <mergeCell ref="A3:F3"/>
    <mergeCell ref="A4:F4"/>
    <mergeCell ref="A5:F5"/>
    <mergeCell ref="A6:F6"/>
    <mergeCell ref="A7:F7"/>
    <mergeCell ref="A8:F8"/>
    <mergeCell ref="A9:O9"/>
    <mergeCell ref="A10:A12"/>
    <mergeCell ref="B10:B12"/>
    <mergeCell ref="C10:N10"/>
    <mergeCell ref="C11:D11"/>
    <mergeCell ref="E11:F11"/>
    <mergeCell ref="G11:H11"/>
    <mergeCell ref="I11:J11"/>
    <mergeCell ref="A13:B13"/>
    <mergeCell ref="A25:B25"/>
    <mergeCell ref="C25:D25"/>
    <mergeCell ref="E25:F25"/>
    <mergeCell ref="G25:H25"/>
    <mergeCell ref="I25:J25"/>
    <mergeCell ref="E26:F26"/>
    <mergeCell ref="G26:H26"/>
    <mergeCell ref="I26:J26"/>
    <mergeCell ref="K26:L26"/>
    <mergeCell ref="K11:L11"/>
    <mergeCell ref="M11:N11"/>
    <mergeCell ref="K25:L25"/>
    <mergeCell ref="M25:N25"/>
    <mergeCell ref="M26:N26"/>
    <mergeCell ref="A27:B27"/>
    <mergeCell ref="C27:D27"/>
    <mergeCell ref="E27:F27"/>
    <mergeCell ref="G27:H27"/>
    <mergeCell ref="I27:J27"/>
    <mergeCell ref="K27:L27"/>
    <mergeCell ref="M27:N27"/>
    <mergeCell ref="A26:B26"/>
    <mergeCell ref="C26:D26"/>
    <mergeCell ref="M28:N28"/>
    <mergeCell ref="A28:B28"/>
    <mergeCell ref="C28:D28"/>
    <mergeCell ref="E28:F28"/>
    <mergeCell ref="G28:H28"/>
    <mergeCell ref="I28:J28"/>
    <mergeCell ref="K28:L28"/>
  </mergeCells>
  <printOptions horizontalCentered="1" verticalCentered="1"/>
  <pageMargins left="0.3937007874015748" right="0.3937007874015748" top="0.984251968503937" bottom="0.3937007874015748" header="0" footer="0"/>
  <pageSetup horizontalDpi="300" verticalDpi="300" orientation="landscape" paperSize="9" scale="33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alfredo cunha</cp:lastModifiedBy>
  <cp:lastPrinted>2020-07-06T18:23:33Z</cp:lastPrinted>
  <dcterms:created xsi:type="dcterms:W3CDTF">2018-12-20T11:07:26Z</dcterms:created>
  <dcterms:modified xsi:type="dcterms:W3CDTF">2020-07-06T18:23:46Z</dcterms:modified>
  <cp:category/>
  <cp:version/>
  <cp:contentType/>
  <cp:contentStatus/>
</cp:coreProperties>
</file>